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230" yWindow="165" windowWidth="10260" windowHeight="7980" tabRatio="712" firstSheet="2" activeTab="3"/>
  </bookViews>
  <sheets>
    <sheet name="Materiales M.O." sheetId="1" r:id="rId1"/>
    <sheet name="Hoja1 (2)" sheetId="20" r:id="rId2"/>
    <sheet name="Rubros Sub RubRos" sheetId="2" r:id="rId3"/>
    <sheet name="AP MI" sheetId="6" r:id="rId4"/>
    <sheet name="Cómp. y Presup." sheetId="16" r:id="rId5"/>
    <sheet name="Plan de Trabajo" sheetId="17" r:id="rId6"/>
    <sheet name="Gráfico1" sheetId="18" r:id="rId7"/>
    <sheet name="GG" sheetId="10" r:id="rId8"/>
    <sheet name="GG (2)" sheetId="19" r:id="rId9"/>
    <sheet name="Hoja3" sheetId="3" r:id="rId10"/>
    <sheet name="Hoja1" sheetId="11" r:id="rId11"/>
    <sheet name="Hoja2" sheetId="12" r:id="rId12"/>
    <sheet name="Sanitarios" sheetId="13" r:id="rId13"/>
    <sheet name="Hoja4" sheetId="14" r:id="rId14"/>
    <sheet name="Cómp. y Presup.1" sheetId="7" r:id="rId15"/>
  </sheets>
  <externalReferences>
    <externalReference r:id="rId16"/>
    <externalReference r:id="rId17"/>
    <externalReference r:id="rId18"/>
  </externalReferences>
  <definedNames>
    <definedName name="AP">'[1]AP MI'!$B$11:$I$2440</definedName>
    <definedName name="_xlnm.Print_Area" localSheetId="3">'AP MI'!$D$12:$L$3113</definedName>
    <definedName name="_xlnm.Print_Area" localSheetId="4">'Cómp. y Presup.'!$D$4:$L$102</definedName>
    <definedName name="_xlnm.Print_Area" localSheetId="14">'Cómp. y Presup.1'!$D$12:$J$94</definedName>
    <definedName name="_xlnm.Print_Area" localSheetId="8">'GG (2)'!$C$7:$I$31</definedName>
    <definedName name="_xlnm.Print_Area" localSheetId="0">'Materiales M.O.'!$C$156:$D$174</definedName>
    <definedName name="_xlnm.Print_Area" localSheetId="5">'Plan de Trabajo'!$D$10:$U$106</definedName>
    <definedName name="_xlnm.Print_Area" localSheetId="2">'Rubros Sub RubRos'!$C$69:$H$100</definedName>
    <definedName name="DATAP" localSheetId="8">'[2]AP MI'!$B$13:$I$473</definedName>
    <definedName name="DATAP">'AP MI'!$B$12:$K$3113</definedName>
    <definedName name="DATAPNETO">'AP MI'!$B$12:$K$3113</definedName>
    <definedName name="DATRUB" localSheetId="7">'[1]Rubros Subrubros'!$B$3:$F$112</definedName>
    <definedName name="DATRUB" localSheetId="8">'[1]Rubros Subrubros'!$B$3:$F$112</definedName>
    <definedName name="DATRUB">'Rubros Sub RubRos'!$C$3:$H$120</definedName>
    <definedName name="LISTA3">[3]VALORES!$A$7:$G$50</definedName>
    <definedName name="MATE">[3]MATERIALES!$A$1:$D$292</definedName>
    <definedName name="MATMO" localSheetId="7">'[1]Materiales M.O.'!$B$4:$E$508</definedName>
    <definedName name="MATMO" localSheetId="8">'[1]Materiales M.O.'!$B$4:$E$508</definedName>
    <definedName name="MATMO">'Materiales M.O.'!$B$6:$E$678</definedName>
    <definedName name="PLAN1">[3]VALORES!$A$7:$D$50</definedName>
    <definedName name="_xlnm.Print_Titles" localSheetId="3">'AP MI'!$1:$10</definedName>
    <definedName name="_xlnm.Print_Titles" localSheetId="5">'Plan de Trabajo'!$4:$9</definedName>
  </definedNames>
  <calcPr calcId="145621"/>
</workbook>
</file>

<file path=xl/calcChain.xml><?xml version="1.0" encoding="utf-8"?>
<calcChain xmlns="http://schemas.openxmlformats.org/spreadsheetml/2006/main">
  <c r="O726" i="6" l="1"/>
  <c r="N726" i="6"/>
  <c r="R21" i="16" l="1"/>
  <c r="I14" i="10"/>
  <c r="H14" i="10"/>
  <c r="P91" i="11" l="1"/>
  <c r="L5" i="11" l="1"/>
  <c r="L96" i="11" l="1"/>
  <c r="L95" i="11"/>
  <c r="L93" i="11"/>
  <c r="L92" i="11"/>
  <c r="K89" i="11"/>
  <c r="L89" i="11" s="1"/>
  <c r="K88" i="11"/>
  <c r="K85" i="11"/>
  <c r="K84" i="11"/>
  <c r="K83" i="11"/>
  <c r="L83" i="11" s="1"/>
  <c r="K82" i="11"/>
  <c r="K78" i="11"/>
  <c r="K77" i="11"/>
  <c r="K76" i="11"/>
  <c r="L76" i="11" s="1"/>
  <c r="K73" i="11"/>
  <c r="K72" i="11"/>
  <c r="K71" i="11"/>
  <c r="K70" i="11"/>
  <c r="K69" i="11"/>
  <c r="K67" i="11"/>
  <c r="K66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1" i="11"/>
  <c r="K50" i="11"/>
  <c r="K49" i="11"/>
  <c r="K47" i="11"/>
  <c r="K45" i="11"/>
  <c r="K43" i="11"/>
  <c r="K42" i="11"/>
  <c r="K41" i="11"/>
  <c r="K40" i="11"/>
  <c r="K39" i="11"/>
  <c r="K38" i="11"/>
  <c r="K37" i="11"/>
  <c r="K34" i="11"/>
  <c r="K33" i="11"/>
  <c r="K32" i="11"/>
  <c r="K31" i="11"/>
  <c r="K29" i="11"/>
  <c r="K28" i="11"/>
  <c r="K27" i="11"/>
  <c r="K26" i="11"/>
  <c r="K25" i="11"/>
  <c r="K24" i="11"/>
  <c r="K22" i="11"/>
  <c r="K21" i="11"/>
  <c r="K20" i="11"/>
  <c r="K19" i="11"/>
  <c r="K18" i="11"/>
  <c r="K17" i="11"/>
  <c r="K16" i="11"/>
  <c r="K15" i="11"/>
  <c r="K14" i="11"/>
  <c r="K12" i="11"/>
  <c r="K11" i="11"/>
  <c r="K6" i="11"/>
  <c r="K7" i="11"/>
  <c r="K8" i="11"/>
  <c r="K9" i="11"/>
  <c r="K5" i="11"/>
  <c r="N91" i="11"/>
  <c r="J91" i="11"/>
  <c r="I11" i="11"/>
  <c r="M11" i="11"/>
  <c r="I12" i="11"/>
  <c r="M12" i="11"/>
  <c r="I14" i="11"/>
  <c r="M14" i="11"/>
  <c r="I15" i="11"/>
  <c r="M15" i="11"/>
  <c r="I16" i="11"/>
  <c r="M16" i="11"/>
  <c r="I17" i="11"/>
  <c r="M17" i="11"/>
  <c r="I18" i="11"/>
  <c r="M18" i="11"/>
  <c r="I19" i="11"/>
  <c r="M19" i="11"/>
  <c r="I20" i="11"/>
  <c r="M20" i="11"/>
  <c r="I21" i="11"/>
  <c r="M21" i="11"/>
  <c r="I22" i="11"/>
  <c r="M22" i="11"/>
  <c r="I24" i="11"/>
  <c r="M24" i="11"/>
  <c r="I25" i="11"/>
  <c r="M25" i="11"/>
  <c r="I26" i="11"/>
  <c r="M26" i="11"/>
  <c r="I27" i="11"/>
  <c r="M27" i="11"/>
  <c r="I28" i="11"/>
  <c r="M28" i="11"/>
  <c r="I29" i="11"/>
  <c r="M29" i="11"/>
  <c r="I31" i="11"/>
  <c r="M31" i="11"/>
  <c r="I32" i="11"/>
  <c r="M32" i="11"/>
  <c r="I33" i="11"/>
  <c r="M33" i="11"/>
  <c r="I34" i="11"/>
  <c r="M34" i="11"/>
  <c r="I37" i="11"/>
  <c r="M37" i="11"/>
  <c r="I38" i="11"/>
  <c r="M38" i="11"/>
  <c r="I39" i="11"/>
  <c r="M39" i="11"/>
  <c r="I40" i="11"/>
  <c r="M40" i="11"/>
  <c r="I41" i="11"/>
  <c r="M41" i="11"/>
  <c r="I42" i="11"/>
  <c r="M42" i="11"/>
  <c r="I43" i="11"/>
  <c r="M43" i="11"/>
  <c r="I45" i="11"/>
  <c r="M45" i="11"/>
  <c r="I47" i="11"/>
  <c r="M47" i="11"/>
  <c r="I49" i="11"/>
  <c r="M49" i="11"/>
  <c r="I50" i="11"/>
  <c r="M50" i="11"/>
  <c r="I51" i="11"/>
  <c r="M51" i="11"/>
  <c r="I53" i="11"/>
  <c r="M53" i="11"/>
  <c r="I54" i="11"/>
  <c r="M54" i="11"/>
  <c r="I55" i="11"/>
  <c r="M55" i="11"/>
  <c r="I56" i="11"/>
  <c r="M56" i="11"/>
  <c r="I57" i="11"/>
  <c r="M57" i="11"/>
  <c r="I58" i="11"/>
  <c r="M58" i="11"/>
  <c r="I59" i="11"/>
  <c r="M59" i="11"/>
  <c r="I60" i="11"/>
  <c r="M60" i="11"/>
  <c r="I61" i="11"/>
  <c r="M61" i="11"/>
  <c r="N61" i="11" s="1"/>
  <c r="I62" i="11"/>
  <c r="L62" i="11"/>
  <c r="M62" i="11"/>
  <c r="I63" i="11"/>
  <c r="J63" i="11" s="1"/>
  <c r="M63" i="11"/>
  <c r="N63" i="11" s="1"/>
  <c r="I64" i="11"/>
  <c r="L64" i="11"/>
  <c r="M64" i="11"/>
  <c r="I66" i="11"/>
  <c r="L66" i="11"/>
  <c r="M66" i="11"/>
  <c r="I67" i="11"/>
  <c r="J67" i="11" s="1"/>
  <c r="M67" i="11"/>
  <c r="N67" i="11" s="1"/>
  <c r="I69" i="11"/>
  <c r="J69" i="11" s="1"/>
  <c r="M69" i="11"/>
  <c r="N69" i="11" s="1"/>
  <c r="I70" i="11"/>
  <c r="L70" i="11"/>
  <c r="M70" i="11"/>
  <c r="I71" i="11"/>
  <c r="J71" i="11" s="1"/>
  <c r="M71" i="11"/>
  <c r="N71" i="11" s="1"/>
  <c r="I72" i="11"/>
  <c r="L72" i="11"/>
  <c r="M72" i="11"/>
  <c r="I73" i="11"/>
  <c r="J73" i="11" s="1"/>
  <c r="M73" i="11"/>
  <c r="N73" i="11" s="1"/>
  <c r="I76" i="11"/>
  <c r="M76" i="11"/>
  <c r="N76" i="11" s="1"/>
  <c r="I77" i="11"/>
  <c r="J77" i="11" s="1"/>
  <c r="L77" i="11"/>
  <c r="M77" i="11"/>
  <c r="N77" i="11" s="1"/>
  <c r="I78" i="11"/>
  <c r="J78" i="11" s="1"/>
  <c r="L78" i="11"/>
  <c r="M78" i="11"/>
  <c r="N78" i="11" s="1"/>
  <c r="I82" i="11"/>
  <c r="J82" i="11" s="1"/>
  <c r="L82" i="11"/>
  <c r="M82" i="11"/>
  <c r="N82" i="11" s="1"/>
  <c r="I83" i="11"/>
  <c r="J83" i="11" s="1"/>
  <c r="M83" i="11"/>
  <c r="N83" i="11" s="1"/>
  <c r="I84" i="11"/>
  <c r="J84" i="11" s="1"/>
  <c r="L84" i="11"/>
  <c r="M84" i="11"/>
  <c r="N84" i="11" s="1"/>
  <c r="I85" i="11"/>
  <c r="J85" i="11" s="1"/>
  <c r="L85" i="11"/>
  <c r="M85" i="11"/>
  <c r="N85" i="11" s="1"/>
  <c r="I88" i="11"/>
  <c r="J88" i="11" s="1"/>
  <c r="L88" i="11"/>
  <c r="M88" i="11"/>
  <c r="N88" i="11" s="1"/>
  <c r="I89" i="11"/>
  <c r="J89" i="11" s="1"/>
  <c r="M89" i="11"/>
  <c r="N89" i="11" s="1"/>
  <c r="I6" i="11"/>
  <c r="L6" i="11"/>
  <c r="M6" i="11"/>
  <c r="I7" i="11"/>
  <c r="J7" i="11" s="1"/>
  <c r="M7" i="11"/>
  <c r="N7" i="11" s="1"/>
  <c r="I8" i="11"/>
  <c r="L8" i="11"/>
  <c r="M8" i="11"/>
  <c r="I9" i="11"/>
  <c r="J9" i="11" s="1"/>
  <c r="M9" i="11"/>
  <c r="N9" i="11" s="1"/>
  <c r="M5" i="11"/>
  <c r="I5" i="11"/>
  <c r="D89" i="11"/>
  <c r="E89" i="11"/>
  <c r="F89" i="11"/>
  <c r="G89" i="11"/>
  <c r="D83" i="11"/>
  <c r="E83" i="11"/>
  <c r="F83" i="11"/>
  <c r="G83" i="11"/>
  <c r="D84" i="11"/>
  <c r="E84" i="11"/>
  <c r="F84" i="11"/>
  <c r="G84" i="11"/>
  <c r="D85" i="11"/>
  <c r="E85" i="11"/>
  <c r="F85" i="11"/>
  <c r="G85" i="11"/>
  <c r="D86" i="11"/>
  <c r="E86" i="11"/>
  <c r="D87" i="11"/>
  <c r="E87" i="11"/>
  <c r="D88" i="11"/>
  <c r="E88" i="11"/>
  <c r="F88" i="11"/>
  <c r="G88" i="11"/>
  <c r="D78" i="11"/>
  <c r="E78" i="11"/>
  <c r="F78" i="11"/>
  <c r="G78" i="11"/>
  <c r="D79" i="11"/>
  <c r="E79" i="11"/>
  <c r="D80" i="11"/>
  <c r="E80" i="11"/>
  <c r="D81" i="11"/>
  <c r="E81" i="11"/>
  <c r="D82" i="11"/>
  <c r="E82" i="11"/>
  <c r="F82" i="11"/>
  <c r="G82" i="11"/>
  <c r="D70" i="11"/>
  <c r="E70" i="11"/>
  <c r="F70" i="11"/>
  <c r="G70" i="11"/>
  <c r="D71" i="11"/>
  <c r="E71" i="11"/>
  <c r="F71" i="11"/>
  <c r="G71" i="11"/>
  <c r="D72" i="11"/>
  <c r="E72" i="11"/>
  <c r="F72" i="11"/>
  <c r="G72" i="11"/>
  <c r="D73" i="11"/>
  <c r="E73" i="11"/>
  <c r="F73" i="11"/>
  <c r="G73" i="11"/>
  <c r="D74" i="11"/>
  <c r="E74" i="11"/>
  <c r="D75" i="11"/>
  <c r="E75" i="11"/>
  <c r="D76" i="11"/>
  <c r="E76" i="11"/>
  <c r="F76" i="11"/>
  <c r="G76" i="11"/>
  <c r="D77" i="11"/>
  <c r="E77" i="11"/>
  <c r="F77" i="11"/>
  <c r="G77" i="11"/>
  <c r="D63" i="11"/>
  <c r="E63" i="11"/>
  <c r="F63" i="11"/>
  <c r="G63" i="11"/>
  <c r="D64" i="11"/>
  <c r="E64" i="11"/>
  <c r="F64" i="11"/>
  <c r="G64" i="11"/>
  <c r="D65" i="11"/>
  <c r="E65" i="11"/>
  <c r="D66" i="11"/>
  <c r="E66" i="11"/>
  <c r="F66" i="11"/>
  <c r="G66" i="11"/>
  <c r="D67" i="11"/>
  <c r="E67" i="11"/>
  <c r="F67" i="11"/>
  <c r="G67" i="11"/>
  <c r="D68" i="11"/>
  <c r="E68" i="11"/>
  <c r="D69" i="11"/>
  <c r="E69" i="11"/>
  <c r="F69" i="11"/>
  <c r="G69" i="11"/>
  <c r="D57" i="11"/>
  <c r="E57" i="11"/>
  <c r="F57" i="11"/>
  <c r="G57" i="11"/>
  <c r="D58" i="11"/>
  <c r="E58" i="11"/>
  <c r="F58" i="11"/>
  <c r="G58" i="11"/>
  <c r="D59" i="11"/>
  <c r="E59" i="11"/>
  <c r="F59" i="11"/>
  <c r="G59" i="11"/>
  <c r="D60" i="11"/>
  <c r="E60" i="11"/>
  <c r="F60" i="11"/>
  <c r="G60" i="11"/>
  <c r="D61" i="11"/>
  <c r="E61" i="11"/>
  <c r="F61" i="11"/>
  <c r="G61" i="11"/>
  <c r="D62" i="11"/>
  <c r="E62" i="11"/>
  <c r="F62" i="11"/>
  <c r="G62" i="11"/>
  <c r="D52" i="11"/>
  <c r="E52" i="11"/>
  <c r="D53" i="11"/>
  <c r="E53" i="11"/>
  <c r="F53" i="11"/>
  <c r="G53" i="11"/>
  <c r="D54" i="11"/>
  <c r="E54" i="11"/>
  <c r="F54" i="11"/>
  <c r="G54" i="11"/>
  <c r="D55" i="11"/>
  <c r="E55" i="11"/>
  <c r="F55" i="11"/>
  <c r="G55" i="11"/>
  <c r="D56" i="11"/>
  <c r="E56" i="11"/>
  <c r="F56" i="11"/>
  <c r="G56" i="11"/>
  <c r="D46" i="11"/>
  <c r="E46" i="11"/>
  <c r="D47" i="11"/>
  <c r="E47" i="11"/>
  <c r="F47" i="11"/>
  <c r="G47" i="11"/>
  <c r="D48" i="11"/>
  <c r="E48" i="11"/>
  <c r="D49" i="11"/>
  <c r="E49" i="11"/>
  <c r="F49" i="11"/>
  <c r="G49" i="11"/>
  <c r="D50" i="11"/>
  <c r="E50" i="11"/>
  <c r="F50" i="11"/>
  <c r="G50" i="11"/>
  <c r="D51" i="11"/>
  <c r="E51" i="11"/>
  <c r="F51" i="11"/>
  <c r="G51" i="11"/>
  <c r="D36" i="11"/>
  <c r="E36" i="11"/>
  <c r="D37" i="11"/>
  <c r="E37" i="11"/>
  <c r="F37" i="11"/>
  <c r="G37" i="11"/>
  <c r="D38" i="11"/>
  <c r="E38" i="11"/>
  <c r="F38" i="11"/>
  <c r="G38" i="11"/>
  <c r="D39" i="11"/>
  <c r="E39" i="11"/>
  <c r="F39" i="11"/>
  <c r="G39" i="11"/>
  <c r="D40" i="11"/>
  <c r="E40" i="11"/>
  <c r="F40" i="11"/>
  <c r="G40" i="11"/>
  <c r="D41" i="11"/>
  <c r="E41" i="11"/>
  <c r="F41" i="11"/>
  <c r="G41" i="11"/>
  <c r="D42" i="11"/>
  <c r="E42" i="11"/>
  <c r="F42" i="11"/>
  <c r="G42" i="11"/>
  <c r="D43" i="11"/>
  <c r="E43" i="11"/>
  <c r="F43" i="11"/>
  <c r="G43" i="11"/>
  <c r="D44" i="11"/>
  <c r="E44" i="11"/>
  <c r="D45" i="11"/>
  <c r="E45" i="11"/>
  <c r="F45" i="11"/>
  <c r="G45" i="11"/>
  <c r="D19" i="11"/>
  <c r="E19" i="11"/>
  <c r="F19" i="11"/>
  <c r="G19" i="11"/>
  <c r="D20" i="11"/>
  <c r="E20" i="11"/>
  <c r="F20" i="11"/>
  <c r="G20" i="11"/>
  <c r="D21" i="11"/>
  <c r="E21" i="11"/>
  <c r="F21" i="11"/>
  <c r="G21" i="11"/>
  <c r="D22" i="11"/>
  <c r="E22" i="11"/>
  <c r="F22" i="11"/>
  <c r="G22" i="11"/>
  <c r="D23" i="11"/>
  <c r="E23" i="11"/>
  <c r="D24" i="11"/>
  <c r="E24" i="11"/>
  <c r="F24" i="11"/>
  <c r="G24" i="11"/>
  <c r="D25" i="11"/>
  <c r="E25" i="11"/>
  <c r="F25" i="11"/>
  <c r="G25" i="11"/>
  <c r="D26" i="11"/>
  <c r="E26" i="11"/>
  <c r="F26" i="11"/>
  <c r="G26" i="11"/>
  <c r="D27" i="11"/>
  <c r="E27" i="11"/>
  <c r="F27" i="11"/>
  <c r="G27" i="11"/>
  <c r="D28" i="11"/>
  <c r="E28" i="11"/>
  <c r="F28" i="11"/>
  <c r="G28" i="11"/>
  <c r="D29" i="11"/>
  <c r="E29" i="11"/>
  <c r="F29" i="11"/>
  <c r="G29" i="11"/>
  <c r="D30" i="11"/>
  <c r="E30" i="11"/>
  <c r="D31" i="11"/>
  <c r="E31" i="11"/>
  <c r="F31" i="11"/>
  <c r="G31" i="11"/>
  <c r="D32" i="11"/>
  <c r="E32" i="11"/>
  <c r="F32" i="11"/>
  <c r="G32" i="11"/>
  <c r="D33" i="11"/>
  <c r="E33" i="11"/>
  <c r="F33" i="11"/>
  <c r="G33" i="11"/>
  <c r="D34" i="11"/>
  <c r="E34" i="11"/>
  <c r="F34" i="11"/>
  <c r="G34" i="11"/>
  <c r="D35" i="11"/>
  <c r="E35" i="11"/>
  <c r="D5" i="11"/>
  <c r="E5" i="11"/>
  <c r="F5" i="11"/>
  <c r="G5" i="11"/>
  <c r="D6" i="11"/>
  <c r="E6" i="11"/>
  <c r="F6" i="11"/>
  <c r="G6" i="11"/>
  <c r="D7" i="11"/>
  <c r="E7" i="11"/>
  <c r="F7" i="11"/>
  <c r="G7" i="11"/>
  <c r="D8" i="11"/>
  <c r="E8" i="11"/>
  <c r="F8" i="11"/>
  <c r="G8" i="11"/>
  <c r="D9" i="11"/>
  <c r="E9" i="11"/>
  <c r="F9" i="11"/>
  <c r="G9" i="11"/>
  <c r="D10" i="11"/>
  <c r="E10" i="11"/>
  <c r="D11" i="11"/>
  <c r="E11" i="11"/>
  <c r="F11" i="11"/>
  <c r="G11" i="11"/>
  <c r="D12" i="11"/>
  <c r="E12" i="11"/>
  <c r="F12" i="11"/>
  <c r="G12" i="11"/>
  <c r="D13" i="11"/>
  <c r="E13" i="11"/>
  <c r="D14" i="11"/>
  <c r="E14" i="11"/>
  <c r="F14" i="11"/>
  <c r="G14" i="11"/>
  <c r="D15" i="11"/>
  <c r="E15" i="11"/>
  <c r="F15" i="11"/>
  <c r="G15" i="11"/>
  <c r="D16" i="11"/>
  <c r="E16" i="11"/>
  <c r="F16" i="11"/>
  <c r="G16" i="11"/>
  <c r="D17" i="11"/>
  <c r="E17" i="11"/>
  <c r="F17" i="11"/>
  <c r="G17" i="11"/>
  <c r="D18" i="11"/>
  <c r="E18" i="11"/>
  <c r="F18" i="11"/>
  <c r="G18" i="11"/>
  <c r="E4" i="11"/>
  <c r="D4" i="11"/>
  <c r="F84" i="10"/>
  <c r="F20" i="19"/>
  <c r="I60" i="10"/>
  <c r="I54" i="10"/>
  <c r="J18" i="11" l="1"/>
  <c r="L18" i="11"/>
  <c r="N18" i="11"/>
  <c r="J17" i="11"/>
  <c r="L17" i="11"/>
  <c r="N17" i="11"/>
  <c r="J16" i="11"/>
  <c r="L16" i="11"/>
  <c r="N16" i="11"/>
  <c r="J15" i="11"/>
  <c r="L15" i="11"/>
  <c r="N15" i="11"/>
  <c r="J14" i="11"/>
  <c r="L14" i="11"/>
  <c r="N14" i="11"/>
  <c r="J12" i="11"/>
  <c r="L12" i="11"/>
  <c r="N12" i="11"/>
  <c r="J11" i="11"/>
  <c r="L11" i="11"/>
  <c r="N11" i="11"/>
  <c r="J34" i="11"/>
  <c r="L34" i="11"/>
  <c r="N34" i="11"/>
  <c r="J33" i="11"/>
  <c r="L33" i="11"/>
  <c r="N33" i="11"/>
  <c r="J32" i="11"/>
  <c r="L32" i="11"/>
  <c r="N32" i="11"/>
  <c r="J31" i="11"/>
  <c r="L31" i="11"/>
  <c r="N31" i="11"/>
  <c r="J29" i="11"/>
  <c r="L29" i="11"/>
  <c r="N29" i="11"/>
  <c r="J28" i="11"/>
  <c r="L28" i="11"/>
  <c r="N28" i="11"/>
  <c r="J27" i="11"/>
  <c r="L27" i="11"/>
  <c r="N27" i="11"/>
  <c r="J26" i="11"/>
  <c r="L26" i="11"/>
  <c r="N26" i="11"/>
  <c r="J25" i="11"/>
  <c r="L25" i="11"/>
  <c r="N25" i="11"/>
  <c r="J24" i="11"/>
  <c r="L24" i="11"/>
  <c r="N24" i="11"/>
  <c r="J22" i="11"/>
  <c r="L22" i="11"/>
  <c r="N22" i="11"/>
  <c r="J21" i="11"/>
  <c r="L21" i="11"/>
  <c r="N21" i="11"/>
  <c r="J20" i="11"/>
  <c r="L20" i="11"/>
  <c r="N20" i="11"/>
  <c r="J19" i="11"/>
  <c r="L19" i="11"/>
  <c r="N19" i="11"/>
  <c r="J45" i="11"/>
  <c r="L45" i="11"/>
  <c r="N45" i="11"/>
  <c r="J43" i="11"/>
  <c r="L43" i="11"/>
  <c r="N43" i="11"/>
  <c r="J42" i="11"/>
  <c r="L42" i="11"/>
  <c r="N42" i="11"/>
  <c r="J41" i="11"/>
  <c r="L41" i="11"/>
  <c r="N41" i="11"/>
  <c r="J40" i="11"/>
  <c r="L40" i="11"/>
  <c r="N40" i="11"/>
  <c r="J39" i="11"/>
  <c r="L39" i="11"/>
  <c r="N39" i="11"/>
  <c r="J38" i="11"/>
  <c r="L38" i="11"/>
  <c r="N38" i="11"/>
  <c r="J37" i="11"/>
  <c r="L37" i="11"/>
  <c r="N37" i="11"/>
  <c r="J51" i="11"/>
  <c r="L51" i="11"/>
  <c r="N51" i="11"/>
  <c r="J50" i="11"/>
  <c r="L50" i="11"/>
  <c r="N50" i="11"/>
  <c r="J49" i="11"/>
  <c r="L49" i="11"/>
  <c r="N49" i="11"/>
  <c r="J47" i="11"/>
  <c r="L47" i="11"/>
  <c r="N47" i="11"/>
  <c r="J56" i="11"/>
  <c r="L56" i="11"/>
  <c r="N56" i="11"/>
  <c r="J55" i="11"/>
  <c r="L55" i="11"/>
  <c r="N55" i="11"/>
  <c r="J54" i="11"/>
  <c r="L54" i="11"/>
  <c r="N54" i="11"/>
  <c r="J53" i="11"/>
  <c r="L53" i="11"/>
  <c r="N53" i="11"/>
  <c r="J61" i="11"/>
  <c r="L61" i="11"/>
  <c r="J60" i="11"/>
  <c r="L60" i="11"/>
  <c r="N60" i="11"/>
  <c r="J59" i="11"/>
  <c r="L59" i="11"/>
  <c r="N59" i="11"/>
  <c r="J58" i="11"/>
  <c r="L58" i="11"/>
  <c r="N58" i="11"/>
  <c r="J57" i="11"/>
  <c r="L57" i="11"/>
  <c r="N57" i="11"/>
  <c r="N5" i="11"/>
  <c r="J76" i="11"/>
  <c r="L73" i="11"/>
  <c r="N72" i="11"/>
  <c r="J72" i="11"/>
  <c r="L71" i="11"/>
  <c r="N70" i="11"/>
  <c r="J70" i="11"/>
  <c r="L69" i="11"/>
  <c r="L67" i="11"/>
  <c r="N66" i="11"/>
  <c r="J66" i="11"/>
  <c r="N64" i="11"/>
  <c r="J64" i="11"/>
  <c r="L63" i="11"/>
  <c r="N62" i="11"/>
  <c r="J62" i="11"/>
  <c r="J5" i="11"/>
  <c r="L9" i="11"/>
  <c r="N8" i="11"/>
  <c r="J8" i="11"/>
  <c r="L7" i="11"/>
  <c r="N6" i="11"/>
  <c r="J6" i="11"/>
  <c r="R741" i="6"/>
  <c r="R739" i="6"/>
  <c r="L91" i="11" l="1"/>
  <c r="Y106" i="17"/>
  <c r="N3101" i="6"/>
  <c r="N3054" i="6"/>
  <c r="N3007" i="6"/>
  <c r="N2960" i="6"/>
  <c r="N2913" i="6"/>
  <c r="N2866" i="6"/>
  <c r="N2819" i="6"/>
  <c r="N2772" i="6"/>
  <c r="N2725" i="6"/>
  <c r="N2678" i="6"/>
  <c r="N2631" i="6"/>
  <c r="N2584" i="6"/>
  <c r="N2537" i="6"/>
  <c r="N2490" i="6"/>
  <c r="N2443" i="6"/>
  <c r="N2349" i="6"/>
  <c r="N2302" i="6"/>
  <c r="N2255" i="6"/>
  <c r="N2208" i="6"/>
  <c r="N2161" i="6"/>
  <c r="N2114" i="6"/>
  <c r="N2067" i="6"/>
  <c r="N2020" i="6"/>
  <c r="N1973" i="6"/>
  <c r="N1926" i="6"/>
  <c r="N1879" i="6"/>
  <c r="N1832" i="6"/>
  <c r="N1785" i="6"/>
  <c r="N1738" i="6"/>
  <c r="N1691" i="6"/>
  <c r="N1644" i="6"/>
  <c r="N1597" i="6"/>
  <c r="N1550" i="6"/>
  <c r="N1503" i="6"/>
  <c r="N1456" i="6"/>
  <c r="N1409" i="6"/>
  <c r="N1362" i="6"/>
  <c r="N1315" i="6"/>
  <c r="N1268" i="6"/>
  <c r="N1221" i="6"/>
  <c r="N1174" i="6"/>
  <c r="N1127" i="6"/>
  <c r="N1080" i="6"/>
  <c r="N1033" i="6"/>
  <c r="N986" i="6"/>
  <c r="N939" i="6"/>
  <c r="N892" i="6"/>
  <c r="N845" i="6"/>
  <c r="N798" i="6"/>
  <c r="N751" i="6"/>
  <c r="N704" i="6"/>
  <c r="N657" i="6"/>
  <c r="N610" i="6"/>
  <c r="N563" i="6"/>
  <c r="N516" i="6"/>
  <c r="N469" i="6"/>
  <c r="N422" i="6"/>
  <c r="N375" i="6"/>
  <c r="N328" i="6"/>
  <c r="N281" i="6"/>
  <c r="N234" i="6"/>
  <c r="N187" i="6"/>
  <c r="N140" i="6"/>
  <c r="N93" i="6"/>
  <c r="N46" i="6"/>
  <c r="G2889" i="6" l="1"/>
  <c r="H2889" i="6"/>
  <c r="G2890" i="6"/>
  <c r="H2890" i="6"/>
  <c r="G2891" i="6"/>
  <c r="H2891" i="6"/>
  <c r="C54" i="10"/>
  <c r="G20" i="19"/>
  <c r="AH84" i="17"/>
  <c r="AH88" i="17"/>
  <c r="AH89" i="17"/>
  <c r="AH90" i="17"/>
  <c r="AH91" i="17"/>
  <c r="AH94" i="17"/>
  <c r="AH95" i="17"/>
  <c r="X29" i="17"/>
  <c r="X41" i="17"/>
  <c r="X42" i="17"/>
  <c r="X50" i="17"/>
  <c r="X58" i="17"/>
  <c r="X71" i="17"/>
  <c r="M74" i="17"/>
  <c r="N74" i="17"/>
  <c r="O74" i="17"/>
  <c r="P74" i="17"/>
  <c r="Q74" i="17"/>
  <c r="R74" i="17"/>
  <c r="S74" i="17"/>
  <c r="T74" i="17"/>
  <c r="U74" i="17"/>
  <c r="AH102" i="17"/>
  <c r="B44" i="10"/>
  <c r="P2671" i="6"/>
  <c r="C12" i="17" l="1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4" i="17"/>
  <c r="C95" i="17"/>
  <c r="C11" i="17"/>
  <c r="B88" i="17"/>
  <c r="B89" i="17"/>
  <c r="B90" i="17"/>
  <c r="B91" i="17"/>
  <c r="B92" i="17"/>
  <c r="B93" i="17"/>
  <c r="B94" i="17"/>
  <c r="B95" i="17"/>
  <c r="B77" i="17"/>
  <c r="B78" i="17"/>
  <c r="B79" i="17"/>
  <c r="B80" i="17"/>
  <c r="B81" i="17"/>
  <c r="B82" i="17"/>
  <c r="B83" i="17"/>
  <c r="B84" i="17"/>
  <c r="B85" i="17"/>
  <c r="B86" i="17"/>
  <c r="B87" i="17"/>
  <c r="B67" i="17"/>
  <c r="B68" i="17"/>
  <c r="B69" i="17"/>
  <c r="B70" i="17"/>
  <c r="B71" i="17"/>
  <c r="B72" i="17"/>
  <c r="B73" i="17"/>
  <c r="B74" i="17"/>
  <c r="B75" i="17"/>
  <c r="B76" i="17"/>
  <c r="B62" i="17"/>
  <c r="B63" i="17"/>
  <c r="B64" i="17"/>
  <c r="B65" i="17"/>
  <c r="B66" i="17"/>
  <c r="B47" i="17"/>
  <c r="D47" i="17" s="1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38" i="17"/>
  <c r="D38" i="17" s="1"/>
  <c r="B39" i="17"/>
  <c r="D39" i="17" s="1"/>
  <c r="B40" i="17"/>
  <c r="D40" i="17" s="1"/>
  <c r="B41" i="17"/>
  <c r="D41" i="17" s="1"/>
  <c r="B42" i="17"/>
  <c r="D42" i="17" s="1"/>
  <c r="B43" i="17"/>
  <c r="D43" i="17" s="1"/>
  <c r="B44" i="17"/>
  <c r="D44" i="17" s="1"/>
  <c r="B45" i="17"/>
  <c r="D45" i="17" s="1"/>
  <c r="B46" i="17"/>
  <c r="D46" i="17" s="1"/>
  <c r="B29" i="17"/>
  <c r="D29" i="17" s="1"/>
  <c r="B30" i="17"/>
  <c r="D30" i="17" s="1"/>
  <c r="B31" i="17"/>
  <c r="D31" i="17" s="1"/>
  <c r="B32" i="17"/>
  <c r="D32" i="17" s="1"/>
  <c r="B33" i="17"/>
  <c r="D33" i="17" s="1"/>
  <c r="B34" i="17"/>
  <c r="D34" i="17" s="1"/>
  <c r="B35" i="17"/>
  <c r="B36" i="17"/>
  <c r="D36" i="17" s="1"/>
  <c r="B37" i="17"/>
  <c r="D37" i="17" s="1"/>
  <c r="B11" i="17"/>
  <c r="D11" i="17" s="1"/>
  <c r="B12" i="17"/>
  <c r="D12" i="17" s="1"/>
  <c r="B13" i="17"/>
  <c r="D13" i="17" s="1"/>
  <c r="B14" i="17"/>
  <c r="D14" i="17" s="1"/>
  <c r="B15" i="17"/>
  <c r="D15" i="17" s="1"/>
  <c r="B16" i="17"/>
  <c r="D16" i="17" s="1"/>
  <c r="B17" i="17"/>
  <c r="D17" i="17" s="1"/>
  <c r="B18" i="17"/>
  <c r="D18" i="17" s="1"/>
  <c r="B19" i="17"/>
  <c r="D19" i="17" s="1"/>
  <c r="B20" i="17"/>
  <c r="D20" i="17" s="1"/>
  <c r="B21" i="17"/>
  <c r="D21" i="17" s="1"/>
  <c r="B22" i="17"/>
  <c r="D22" i="17" s="1"/>
  <c r="B23" i="17"/>
  <c r="D23" i="17" s="1"/>
  <c r="B24" i="17"/>
  <c r="D24" i="17" s="1"/>
  <c r="B25" i="17"/>
  <c r="D25" i="17" s="1"/>
  <c r="B26" i="17"/>
  <c r="D26" i="17" s="1"/>
  <c r="B27" i="17"/>
  <c r="D27" i="17" s="1"/>
  <c r="B28" i="17"/>
  <c r="D28" i="17" s="1"/>
  <c r="B10" i="17"/>
  <c r="F3005" i="6"/>
  <c r="F3004" i="6"/>
  <c r="F2958" i="6"/>
  <c r="F2957" i="6"/>
  <c r="F2911" i="6"/>
  <c r="F2910" i="6"/>
  <c r="F2864" i="6"/>
  <c r="F2863" i="6"/>
  <c r="F2817" i="6"/>
  <c r="F2816" i="6"/>
  <c r="P2812" i="6"/>
  <c r="F2770" i="6"/>
  <c r="F2769" i="6"/>
  <c r="P2765" i="6"/>
  <c r="F2723" i="6"/>
  <c r="F2722" i="6"/>
  <c r="P2718" i="6"/>
  <c r="F2652" i="6"/>
  <c r="F2676" i="6"/>
  <c r="F2675" i="6"/>
  <c r="D60" i="17" l="1"/>
  <c r="F60" i="17"/>
  <c r="E60" i="17"/>
  <c r="G60" i="17"/>
  <c r="D56" i="17"/>
  <c r="F56" i="17"/>
  <c r="E56" i="17"/>
  <c r="G56" i="17"/>
  <c r="D52" i="17"/>
  <c r="E52" i="17"/>
  <c r="D48" i="17"/>
  <c r="F48" i="17"/>
  <c r="E48" i="17"/>
  <c r="G48" i="17"/>
  <c r="D64" i="17"/>
  <c r="F64" i="17"/>
  <c r="E64" i="17"/>
  <c r="G64" i="17"/>
  <c r="D75" i="17"/>
  <c r="F75" i="17"/>
  <c r="E75" i="17"/>
  <c r="G75" i="17"/>
  <c r="D71" i="17"/>
  <c r="E71" i="17"/>
  <c r="D67" i="17"/>
  <c r="F67" i="17"/>
  <c r="E67" i="17"/>
  <c r="G67" i="17"/>
  <c r="D84" i="17"/>
  <c r="F84" i="17"/>
  <c r="E84" i="17"/>
  <c r="G84" i="17"/>
  <c r="D80" i="17"/>
  <c r="E80" i="17"/>
  <c r="D35" i="17"/>
  <c r="F35" i="17"/>
  <c r="E35" i="17"/>
  <c r="G35" i="17"/>
  <c r="D61" i="17"/>
  <c r="F61" i="17"/>
  <c r="E61" i="17"/>
  <c r="G61" i="17"/>
  <c r="D59" i="17"/>
  <c r="F59" i="17"/>
  <c r="E59" i="17"/>
  <c r="G59" i="17"/>
  <c r="D57" i="17"/>
  <c r="F57" i="17"/>
  <c r="E57" i="17"/>
  <c r="G57" i="17"/>
  <c r="D55" i="17"/>
  <c r="F55" i="17"/>
  <c r="E55" i="17"/>
  <c r="G55" i="17"/>
  <c r="D53" i="17"/>
  <c r="F53" i="17"/>
  <c r="E53" i="17"/>
  <c r="G53" i="17"/>
  <c r="D51" i="17"/>
  <c r="F51" i="17"/>
  <c r="E51" i="17"/>
  <c r="G51" i="17"/>
  <c r="D49" i="17"/>
  <c r="F49" i="17"/>
  <c r="E49" i="17"/>
  <c r="G49" i="17"/>
  <c r="D65" i="17"/>
  <c r="F65" i="17"/>
  <c r="E65" i="17"/>
  <c r="G65" i="17"/>
  <c r="D63" i="17"/>
  <c r="F63" i="17"/>
  <c r="E63" i="17"/>
  <c r="G63" i="17"/>
  <c r="D76" i="17"/>
  <c r="F76" i="17"/>
  <c r="E76" i="17"/>
  <c r="G76" i="17"/>
  <c r="D74" i="17"/>
  <c r="E74" i="17"/>
  <c r="D72" i="17"/>
  <c r="F72" i="17"/>
  <c r="E72" i="17"/>
  <c r="G72" i="17"/>
  <c r="D70" i="17"/>
  <c r="F70" i="17"/>
  <c r="E70" i="17"/>
  <c r="D68" i="17"/>
  <c r="F68" i="17"/>
  <c r="E68" i="17"/>
  <c r="G68" i="17"/>
  <c r="D87" i="17"/>
  <c r="E87" i="17"/>
  <c r="D85" i="17"/>
  <c r="E85" i="17"/>
  <c r="D83" i="17"/>
  <c r="F83" i="17"/>
  <c r="E83" i="17"/>
  <c r="G83" i="17"/>
  <c r="D81" i="17"/>
  <c r="E81" i="17"/>
  <c r="D79" i="17"/>
  <c r="F79" i="17"/>
  <c r="E79" i="17"/>
  <c r="G79" i="17"/>
  <c r="D77" i="17"/>
  <c r="F77" i="17"/>
  <c r="E77" i="17"/>
  <c r="G77" i="17"/>
  <c r="D94" i="17"/>
  <c r="F94" i="17"/>
  <c r="E94" i="17"/>
  <c r="G94" i="17"/>
  <c r="D92" i="17"/>
  <c r="E92" i="17"/>
  <c r="D90" i="17"/>
  <c r="F90" i="17"/>
  <c r="E90" i="17"/>
  <c r="G90" i="17"/>
  <c r="D88" i="17"/>
  <c r="F88" i="17"/>
  <c r="E88" i="17"/>
  <c r="G88" i="17"/>
  <c r="G20" i="17"/>
  <c r="E20" i="17"/>
  <c r="E19" i="17"/>
  <c r="G18" i="17"/>
  <c r="E18" i="17"/>
  <c r="G17" i="17"/>
  <c r="E17" i="17"/>
  <c r="E16" i="17"/>
  <c r="G15" i="17"/>
  <c r="E15" i="17"/>
  <c r="G14" i="17"/>
  <c r="E14" i="17"/>
  <c r="G13" i="17"/>
  <c r="E13" i="17"/>
  <c r="G12" i="17"/>
  <c r="E12" i="17"/>
  <c r="G11" i="17"/>
  <c r="E11" i="17"/>
  <c r="G34" i="17"/>
  <c r="E34" i="17"/>
  <c r="G33" i="17"/>
  <c r="E33" i="17"/>
  <c r="G32" i="17"/>
  <c r="E32" i="17"/>
  <c r="G31" i="17"/>
  <c r="E31" i="17"/>
  <c r="G30" i="17"/>
  <c r="E30" i="17"/>
  <c r="E29" i="17"/>
  <c r="G28" i="17"/>
  <c r="E28" i="17"/>
  <c r="G27" i="17"/>
  <c r="E27" i="17"/>
  <c r="G26" i="17"/>
  <c r="E26" i="17"/>
  <c r="G25" i="17"/>
  <c r="E25" i="17"/>
  <c r="G24" i="17"/>
  <c r="E24" i="17"/>
  <c r="G23" i="17"/>
  <c r="E23" i="17"/>
  <c r="G22" i="17"/>
  <c r="E22" i="17"/>
  <c r="G21" i="17"/>
  <c r="E21" i="17"/>
  <c r="G47" i="17"/>
  <c r="E47" i="17"/>
  <c r="G46" i="17"/>
  <c r="E46" i="17"/>
  <c r="G45" i="17"/>
  <c r="E45" i="17"/>
  <c r="G44" i="17"/>
  <c r="E44" i="17"/>
  <c r="G43" i="17"/>
  <c r="E43" i="17"/>
  <c r="E42" i="17"/>
  <c r="E41" i="17"/>
  <c r="G40" i="17"/>
  <c r="E40" i="17"/>
  <c r="G39" i="17"/>
  <c r="E39" i="17"/>
  <c r="G38" i="17"/>
  <c r="E38" i="17"/>
  <c r="G37" i="17"/>
  <c r="E37" i="17"/>
  <c r="E36" i="17"/>
  <c r="D58" i="17"/>
  <c r="E58" i="17"/>
  <c r="D54" i="17"/>
  <c r="E54" i="17"/>
  <c r="D50" i="17"/>
  <c r="E50" i="17"/>
  <c r="D66" i="17"/>
  <c r="F66" i="17"/>
  <c r="E66" i="17"/>
  <c r="G66" i="17"/>
  <c r="D62" i="17"/>
  <c r="F62" i="17"/>
  <c r="E62" i="17"/>
  <c r="G62" i="17"/>
  <c r="D73" i="17"/>
  <c r="F73" i="17"/>
  <c r="E73" i="17"/>
  <c r="G73" i="17"/>
  <c r="D69" i="17"/>
  <c r="F69" i="17"/>
  <c r="E69" i="17"/>
  <c r="G69" i="17"/>
  <c r="D86" i="17"/>
  <c r="E86" i="17"/>
  <c r="D82" i="17"/>
  <c r="F82" i="17"/>
  <c r="E82" i="17"/>
  <c r="G82" i="17"/>
  <c r="D78" i="17"/>
  <c r="F78" i="17"/>
  <c r="E78" i="17"/>
  <c r="G78" i="17"/>
  <c r="D95" i="17"/>
  <c r="F95" i="17"/>
  <c r="E95" i="17"/>
  <c r="G95" i="17"/>
  <c r="D93" i="17"/>
  <c r="E93" i="17"/>
  <c r="D91" i="17"/>
  <c r="F91" i="17"/>
  <c r="E91" i="17"/>
  <c r="D89" i="17"/>
  <c r="F89" i="17"/>
  <c r="E89" i="17"/>
  <c r="F20" i="17"/>
  <c r="F18" i="17"/>
  <c r="F17" i="17"/>
  <c r="F15" i="17"/>
  <c r="F14" i="17"/>
  <c r="F13" i="17"/>
  <c r="F12" i="17"/>
  <c r="F11" i="17"/>
  <c r="F34" i="17"/>
  <c r="F33" i="17"/>
  <c r="F32" i="17"/>
  <c r="F31" i="17"/>
  <c r="F30" i="17"/>
  <c r="F28" i="17"/>
  <c r="F27" i="17"/>
  <c r="F26" i="17"/>
  <c r="F25" i="17"/>
  <c r="F24" i="17"/>
  <c r="F23" i="17"/>
  <c r="F22" i="17"/>
  <c r="F21" i="17"/>
  <c r="F47" i="17"/>
  <c r="F46" i="17"/>
  <c r="F45" i="17"/>
  <c r="F44" i="17"/>
  <c r="F43" i="17"/>
  <c r="F40" i="17"/>
  <c r="F39" i="17"/>
  <c r="F38" i="17"/>
  <c r="F37" i="17"/>
  <c r="E1387" i="6"/>
  <c r="E1388" i="6"/>
  <c r="G70" i="1" l="1"/>
  <c r="P3047" i="6" l="1"/>
  <c r="F3052" i="6"/>
  <c r="F3051" i="6"/>
  <c r="F3099" i="6"/>
  <c r="F3098" i="6"/>
  <c r="F44" i="6"/>
  <c r="F43" i="6"/>
  <c r="C60" i="10"/>
  <c r="F232" i="6"/>
  <c r="F231" i="6"/>
  <c r="F185" i="6"/>
  <c r="F184" i="6"/>
  <c r="F138" i="6"/>
  <c r="F137" i="6"/>
  <c r="F91" i="6"/>
  <c r="F90" i="6"/>
  <c r="P416" i="6"/>
  <c r="J21" i="2"/>
  <c r="H66" i="2"/>
  <c r="H65" i="2"/>
  <c r="H64" i="2"/>
  <c r="A2389" i="6" l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266" i="1"/>
  <c r="E265" i="1"/>
  <c r="E264" i="1"/>
  <c r="E263" i="1"/>
  <c r="E262" i="1"/>
  <c r="E261" i="1"/>
  <c r="E260" i="1"/>
  <c r="E256" i="1"/>
  <c r="P745" i="6" l="1"/>
  <c r="P698" i="6"/>
  <c r="P651" i="6"/>
  <c r="P604" i="6"/>
  <c r="P557" i="6"/>
  <c r="P510" i="6"/>
  <c r="P463" i="6"/>
  <c r="F2975" i="6" l="1"/>
  <c r="F2629" i="6" l="1"/>
  <c r="F2628" i="6"/>
  <c r="F2582" i="6"/>
  <c r="F2581" i="6"/>
  <c r="F2535" i="6"/>
  <c r="F2534" i="6"/>
  <c r="F2488" i="6"/>
  <c r="F2487" i="6"/>
  <c r="F2441" i="6"/>
  <c r="F2440" i="6"/>
  <c r="F2394" i="6"/>
  <c r="F2393" i="6"/>
  <c r="F2347" i="6"/>
  <c r="F2346" i="6"/>
  <c r="F2300" i="6"/>
  <c r="F2299" i="6"/>
  <c r="F2253" i="6"/>
  <c r="F2252" i="6"/>
  <c r="F2206" i="6"/>
  <c r="F2205" i="6"/>
  <c r="F2159" i="6"/>
  <c r="F2158" i="6"/>
  <c r="F2112" i="6"/>
  <c r="F2111" i="6"/>
  <c r="F2065" i="6"/>
  <c r="F2064" i="6"/>
  <c r="F2018" i="6"/>
  <c r="F2017" i="6"/>
  <c r="F1971" i="6"/>
  <c r="F1970" i="6"/>
  <c r="F1924" i="6"/>
  <c r="F1923" i="6"/>
  <c r="F1877" i="6"/>
  <c r="F1876" i="6"/>
  <c r="F1830" i="6"/>
  <c r="F1829" i="6"/>
  <c r="F1783" i="6"/>
  <c r="F1782" i="6"/>
  <c r="F1736" i="6"/>
  <c r="F1735" i="6"/>
  <c r="F1689" i="6"/>
  <c r="F1688" i="6"/>
  <c r="F1642" i="6"/>
  <c r="F1641" i="6"/>
  <c r="F1595" i="6"/>
  <c r="F1594" i="6"/>
  <c r="F1548" i="6"/>
  <c r="F1547" i="6"/>
  <c r="F1501" i="6"/>
  <c r="F1500" i="6"/>
  <c r="F1454" i="6"/>
  <c r="F1453" i="6"/>
  <c r="F1407" i="6"/>
  <c r="F1406" i="6"/>
  <c r="F1360" i="6"/>
  <c r="F1359" i="6"/>
  <c r="F1313" i="6"/>
  <c r="F1312" i="6"/>
  <c r="F1266" i="6"/>
  <c r="F1265" i="6"/>
  <c r="F1219" i="6"/>
  <c r="F1218" i="6"/>
  <c r="F1172" i="6"/>
  <c r="F1171" i="6"/>
  <c r="F1125" i="6"/>
  <c r="F1124" i="6"/>
  <c r="F1078" i="6"/>
  <c r="F1077" i="6"/>
  <c r="F1031" i="6"/>
  <c r="F1030" i="6"/>
  <c r="F984" i="6"/>
  <c r="F983" i="6"/>
  <c r="F937" i="6"/>
  <c r="F936" i="6"/>
  <c r="F890" i="6"/>
  <c r="F889" i="6"/>
  <c r="F843" i="6"/>
  <c r="F842" i="6"/>
  <c r="F796" i="6"/>
  <c r="F795" i="6"/>
  <c r="F749" i="6"/>
  <c r="F748" i="6"/>
  <c r="F702" i="6"/>
  <c r="F701" i="6"/>
  <c r="F655" i="6"/>
  <c r="F654" i="6"/>
  <c r="F608" i="6"/>
  <c r="F607" i="6"/>
  <c r="F561" i="6"/>
  <c r="F560" i="6"/>
  <c r="F514" i="6"/>
  <c r="F513" i="6"/>
  <c r="F467" i="6"/>
  <c r="F466" i="6"/>
  <c r="F420" i="6"/>
  <c r="F419" i="6"/>
  <c r="F373" i="6"/>
  <c r="F372" i="6"/>
  <c r="F326" i="6"/>
  <c r="F325" i="6"/>
  <c r="F279" i="6"/>
  <c r="F278" i="6"/>
  <c r="G158" i="1"/>
  <c r="G157" i="1"/>
  <c r="G156" i="1"/>
  <c r="G110" i="1"/>
  <c r="G106" i="1"/>
  <c r="E16" i="19"/>
  <c r="F25" i="19" l="1"/>
  <c r="G25" i="19" s="1"/>
  <c r="G15" i="19"/>
  <c r="F16" i="19"/>
  <c r="G16" i="19" s="1"/>
  <c r="G19" i="19" s="1"/>
  <c r="B45" i="10"/>
  <c r="C11" i="10"/>
  <c r="C12" i="10"/>
  <c r="H94" i="2"/>
  <c r="H92" i="2"/>
  <c r="J57" i="2"/>
  <c r="J55" i="2"/>
  <c r="H48" i="2"/>
  <c r="H49" i="2"/>
  <c r="H50" i="2"/>
  <c r="H51" i="2"/>
  <c r="H52" i="2"/>
  <c r="H53" i="2"/>
  <c r="H47" i="2"/>
  <c r="R53" i="2"/>
  <c r="Q53" i="2"/>
  <c r="P53" i="2"/>
  <c r="J53" i="2" s="1"/>
  <c r="J52" i="2"/>
  <c r="P50" i="2"/>
  <c r="J50" i="2" s="1"/>
  <c r="J48" i="2" s="1"/>
  <c r="P49" i="2"/>
  <c r="J49" i="2" s="1"/>
  <c r="J51" i="2" s="1"/>
  <c r="J47" i="2"/>
  <c r="H42" i="2"/>
  <c r="H43" i="2"/>
  <c r="H44" i="2"/>
  <c r="H41" i="2"/>
  <c r="R44" i="2"/>
  <c r="Q44" i="2"/>
  <c r="P44" i="2"/>
  <c r="J44" i="2" s="1"/>
  <c r="Q43" i="2"/>
  <c r="P43" i="2"/>
  <c r="J43" i="2"/>
  <c r="J41" i="2"/>
  <c r="J42" i="2" s="1"/>
  <c r="H35" i="2"/>
  <c r="H36" i="2"/>
  <c r="H37" i="2"/>
  <c r="H38" i="2"/>
  <c r="H39" i="2"/>
  <c r="H34" i="2"/>
  <c r="P39" i="2"/>
  <c r="J39" i="2" s="1"/>
  <c r="Q38" i="2"/>
  <c r="P38" i="2"/>
  <c r="J38" i="2"/>
  <c r="R37" i="2"/>
  <c r="Q37" i="2"/>
  <c r="P37" i="2"/>
  <c r="J37" i="2"/>
  <c r="J35" i="2"/>
  <c r="H24" i="2"/>
  <c r="H32" i="2"/>
  <c r="H31" i="2"/>
  <c r="H30" i="2"/>
  <c r="H29" i="2"/>
  <c r="H28" i="2"/>
  <c r="U27" i="2"/>
  <c r="T27" i="2"/>
  <c r="H27" i="2"/>
  <c r="H26" i="2"/>
  <c r="H25" i="2"/>
  <c r="G24" i="19" l="1"/>
  <c r="G28" i="19" s="1"/>
  <c r="G30" i="19" s="1"/>
  <c r="Q9" i="6" s="1"/>
  <c r="I3064" i="6" s="1"/>
  <c r="C15" i="16"/>
  <c r="E14" i="16"/>
  <c r="E20" i="16"/>
  <c r="C95" i="16"/>
  <c r="D95" i="16"/>
  <c r="E95" i="16"/>
  <c r="F95" i="16"/>
  <c r="D96" i="16"/>
  <c r="E96" i="16"/>
  <c r="D97" i="16"/>
  <c r="E97" i="16"/>
  <c r="C98" i="16"/>
  <c r="D98" i="16"/>
  <c r="E98" i="16"/>
  <c r="F98" i="16"/>
  <c r="G98" i="16"/>
  <c r="C99" i="16"/>
  <c r="D99" i="16"/>
  <c r="E99" i="16"/>
  <c r="F99" i="16"/>
  <c r="G99" i="16"/>
  <c r="C88" i="16"/>
  <c r="D88" i="16"/>
  <c r="E88" i="16"/>
  <c r="F88" i="16"/>
  <c r="G88" i="16"/>
  <c r="D89" i="16"/>
  <c r="E89" i="16"/>
  <c r="D90" i="16"/>
  <c r="E90" i="16"/>
  <c r="D91" i="16"/>
  <c r="E91" i="16"/>
  <c r="C92" i="16"/>
  <c r="D92" i="16"/>
  <c r="E92" i="16"/>
  <c r="F92" i="16"/>
  <c r="G92" i="16"/>
  <c r="C93" i="16"/>
  <c r="D93" i="16"/>
  <c r="E93" i="16"/>
  <c r="F93" i="16"/>
  <c r="C94" i="16"/>
  <c r="D94" i="16"/>
  <c r="E94" i="16"/>
  <c r="F94" i="16"/>
  <c r="G94" i="16"/>
  <c r="C79" i="16"/>
  <c r="D79" i="16"/>
  <c r="E79" i="16"/>
  <c r="F79" i="16"/>
  <c r="C80" i="16"/>
  <c r="D80" i="16"/>
  <c r="E80" i="16"/>
  <c r="F80" i="16"/>
  <c r="G80" i="16"/>
  <c r="C81" i="16"/>
  <c r="D81" i="16"/>
  <c r="E81" i="16"/>
  <c r="F81" i="16"/>
  <c r="G81" i="16"/>
  <c r="C82" i="16"/>
  <c r="D82" i="16"/>
  <c r="E82" i="16"/>
  <c r="F82" i="16"/>
  <c r="G82" i="16"/>
  <c r="C83" i="16"/>
  <c r="D83" i="16"/>
  <c r="E83" i="16"/>
  <c r="F83" i="16"/>
  <c r="G83" i="16"/>
  <c r="D84" i="16"/>
  <c r="E84" i="16"/>
  <c r="D85" i="16"/>
  <c r="E85" i="16"/>
  <c r="C86" i="16"/>
  <c r="D86" i="16"/>
  <c r="E86" i="16"/>
  <c r="F86" i="16"/>
  <c r="C87" i="16"/>
  <c r="D87" i="16"/>
  <c r="E87" i="16"/>
  <c r="F87" i="16"/>
  <c r="G87" i="16"/>
  <c r="C68" i="16"/>
  <c r="D68" i="16"/>
  <c r="E68" i="16"/>
  <c r="F68" i="16"/>
  <c r="C69" i="16"/>
  <c r="D69" i="16"/>
  <c r="E69" i="16"/>
  <c r="F69" i="16"/>
  <c r="C70" i="16"/>
  <c r="D70" i="16"/>
  <c r="E70" i="16"/>
  <c r="F70" i="16"/>
  <c r="C71" i="16"/>
  <c r="D71" i="16"/>
  <c r="E71" i="16"/>
  <c r="F71" i="16"/>
  <c r="C72" i="16"/>
  <c r="D72" i="16"/>
  <c r="E72" i="16"/>
  <c r="F72" i="16"/>
  <c r="C73" i="16"/>
  <c r="D73" i="16"/>
  <c r="E73" i="16"/>
  <c r="F73" i="16"/>
  <c r="C74" i="16"/>
  <c r="D74" i="16"/>
  <c r="E74" i="16"/>
  <c r="F74" i="16"/>
  <c r="D75" i="16"/>
  <c r="E75" i="16"/>
  <c r="C76" i="16"/>
  <c r="D76" i="16"/>
  <c r="E76" i="16"/>
  <c r="F76" i="16"/>
  <c r="G76" i="16"/>
  <c r="C77" i="16"/>
  <c r="D77" i="16"/>
  <c r="E77" i="16"/>
  <c r="F77" i="16"/>
  <c r="G77" i="16"/>
  <c r="D78" i="16"/>
  <c r="E78" i="16"/>
  <c r="H95" i="2"/>
  <c r="G91" i="17" s="1"/>
  <c r="H98" i="2"/>
  <c r="H99" i="2"/>
  <c r="H86" i="2"/>
  <c r="G86" i="16" s="1"/>
  <c r="H87" i="2"/>
  <c r="H88" i="2"/>
  <c r="H93" i="2"/>
  <c r="G89" i="17" s="1"/>
  <c r="H69" i="2"/>
  <c r="G69" i="16" s="1"/>
  <c r="H70" i="2"/>
  <c r="G70" i="16" s="1"/>
  <c r="H71" i="2"/>
  <c r="G71" i="16" s="1"/>
  <c r="H72" i="2"/>
  <c r="G72" i="16" s="1"/>
  <c r="H73" i="2"/>
  <c r="G73" i="16" s="1"/>
  <c r="H74" i="2"/>
  <c r="G70" i="17" s="1"/>
  <c r="H76" i="2"/>
  <c r="H77" i="2"/>
  <c r="H79" i="2"/>
  <c r="G79" i="16" s="1"/>
  <c r="H80" i="2"/>
  <c r="H81" i="2"/>
  <c r="H82" i="2"/>
  <c r="H83" i="2"/>
  <c r="C3112" i="6"/>
  <c r="A3112" i="6"/>
  <c r="B3112" i="6" s="1"/>
  <c r="B3108" i="6"/>
  <c r="A3108" i="6"/>
  <c r="H3107" i="6"/>
  <c r="J3107" i="6" s="1"/>
  <c r="G3107" i="6"/>
  <c r="I3107" i="6" s="1"/>
  <c r="E3107" i="6"/>
  <c r="H3106" i="6"/>
  <c r="J3106" i="6" s="1"/>
  <c r="G3106" i="6"/>
  <c r="I3106" i="6" s="1"/>
  <c r="E3106" i="6"/>
  <c r="H3105" i="6"/>
  <c r="J3105" i="6" s="1"/>
  <c r="G3105" i="6"/>
  <c r="I3105" i="6" s="1"/>
  <c r="E3105" i="6"/>
  <c r="H3104" i="6"/>
  <c r="J3104" i="6" s="1"/>
  <c r="G3104" i="6"/>
  <c r="I3104" i="6" s="1"/>
  <c r="E3104" i="6"/>
  <c r="G3103" i="6"/>
  <c r="I3103" i="6" s="1"/>
  <c r="E3103" i="6"/>
  <c r="P3101" i="6"/>
  <c r="R3101" i="6" s="1"/>
  <c r="A3101" i="6"/>
  <c r="B3101" i="6" s="1"/>
  <c r="H3100" i="6"/>
  <c r="J3100" i="6" s="1"/>
  <c r="G3100" i="6"/>
  <c r="I3100" i="6" s="1"/>
  <c r="E3100" i="6"/>
  <c r="H3099" i="6"/>
  <c r="J3099" i="6" s="1"/>
  <c r="G3099" i="6"/>
  <c r="I3099" i="6" s="1"/>
  <c r="E3099" i="6"/>
  <c r="H3098" i="6"/>
  <c r="J3098" i="6" s="1"/>
  <c r="G3098" i="6"/>
  <c r="I3098" i="6" s="1"/>
  <c r="E3098" i="6"/>
  <c r="H3097" i="6"/>
  <c r="J3097" i="6" s="1"/>
  <c r="G3097" i="6"/>
  <c r="I3097" i="6" s="1"/>
  <c r="E3097" i="6"/>
  <c r="H3096" i="6"/>
  <c r="J3096" i="6" s="1"/>
  <c r="G3096" i="6"/>
  <c r="K3101" i="6" s="1"/>
  <c r="E3096" i="6"/>
  <c r="A3094" i="6"/>
  <c r="B3094" i="6" s="1"/>
  <c r="H3093" i="6"/>
  <c r="J3093" i="6" s="1"/>
  <c r="G3093" i="6"/>
  <c r="I3093" i="6" s="1"/>
  <c r="E3093" i="6"/>
  <c r="H3092" i="6"/>
  <c r="J3092" i="6" s="1"/>
  <c r="G3092" i="6"/>
  <c r="I3092" i="6" s="1"/>
  <c r="E3092" i="6"/>
  <c r="H3091" i="6"/>
  <c r="J3091" i="6" s="1"/>
  <c r="G3091" i="6"/>
  <c r="I3091" i="6" s="1"/>
  <c r="E3091" i="6"/>
  <c r="H3090" i="6"/>
  <c r="J3090" i="6" s="1"/>
  <c r="G3090" i="6"/>
  <c r="I3090" i="6" s="1"/>
  <c r="E3090" i="6"/>
  <c r="H3089" i="6"/>
  <c r="J3089" i="6" s="1"/>
  <c r="G3089" i="6"/>
  <c r="I3089" i="6" s="1"/>
  <c r="E3089" i="6"/>
  <c r="H3088" i="6"/>
  <c r="J3088" i="6" s="1"/>
  <c r="G3088" i="6"/>
  <c r="I3088" i="6" s="1"/>
  <c r="E3088" i="6"/>
  <c r="H3087" i="6"/>
  <c r="J3087" i="6" s="1"/>
  <c r="G3087" i="6"/>
  <c r="I3087" i="6" s="1"/>
  <c r="E3087" i="6"/>
  <c r="H3086" i="6"/>
  <c r="J3086" i="6" s="1"/>
  <c r="G3086" i="6"/>
  <c r="I3086" i="6" s="1"/>
  <c r="E3086" i="6"/>
  <c r="H3085" i="6"/>
  <c r="J3085" i="6" s="1"/>
  <c r="G3085" i="6"/>
  <c r="I3085" i="6" s="1"/>
  <c r="E3085" i="6"/>
  <c r="H3084" i="6"/>
  <c r="J3084" i="6" s="1"/>
  <c r="G3084" i="6"/>
  <c r="I3084" i="6" s="1"/>
  <c r="E3084" i="6"/>
  <c r="H3083" i="6"/>
  <c r="J3083" i="6" s="1"/>
  <c r="G3083" i="6"/>
  <c r="I3083" i="6" s="1"/>
  <c r="E3083" i="6"/>
  <c r="H3082" i="6"/>
  <c r="J3082" i="6" s="1"/>
  <c r="G3082" i="6"/>
  <c r="I3082" i="6" s="1"/>
  <c r="E3082" i="6"/>
  <c r="H3081" i="6"/>
  <c r="J3081" i="6" s="1"/>
  <c r="G3081" i="6"/>
  <c r="I3081" i="6" s="1"/>
  <c r="E3081" i="6"/>
  <c r="H3080" i="6"/>
  <c r="J3080" i="6" s="1"/>
  <c r="G3080" i="6"/>
  <c r="I3080" i="6" s="1"/>
  <c r="E3080" i="6"/>
  <c r="H3079" i="6"/>
  <c r="J3079" i="6" s="1"/>
  <c r="G3079" i="6"/>
  <c r="I3079" i="6" s="1"/>
  <c r="E3079" i="6"/>
  <c r="H3078" i="6"/>
  <c r="J3078" i="6" s="1"/>
  <c r="G3078" i="6"/>
  <c r="I3078" i="6" s="1"/>
  <c r="E3078" i="6"/>
  <c r="H3077" i="6"/>
  <c r="J3077" i="6" s="1"/>
  <c r="G3077" i="6"/>
  <c r="I3077" i="6" s="1"/>
  <c r="E3077" i="6"/>
  <c r="H3076" i="6"/>
  <c r="J3076" i="6" s="1"/>
  <c r="G3076" i="6"/>
  <c r="I3076" i="6" s="1"/>
  <c r="E3076" i="6"/>
  <c r="H3075" i="6"/>
  <c r="J3075" i="6" s="1"/>
  <c r="G3075" i="6"/>
  <c r="I3075" i="6" s="1"/>
  <c r="E3075" i="6"/>
  <c r="H3074" i="6"/>
  <c r="J3074" i="6" s="1"/>
  <c r="G3074" i="6"/>
  <c r="I3074" i="6" s="1"/>
  <c r="E3074" i="6"/>
  <c r="F3071" i="6"/>
  <c r="K3112" i="6" s="1"/>
  <c r="G3070" i="6"/>
  <c r="F3070" i="6"/>
  <c r="G3069" i="6"/>
  <c r="F3069" i="6"/>
  <c r="G3068" i="6"/>
  <c r="F3068" i="6"/>
  <c r="C3065" i="6"/>
  <c r="A3065" i="6"/>
  <c r="B3065" i="6" s="1"/>
  <c r="B3061" i="6"/>
  <c r="A3061" i="6"/>
  <c r="H3060" i="6"/>
  <c r="J3060" i="6" s="1"/>
  <c r="G3060" i="6"/>
  <c r="I3060" i="6" s="1"/>
  <c r="E3060" i="6"/>
  <c r="H3059" i="6"/>
  <c r="J3059" i="6" s="1"/>
  <c r="G3059" i="6"/>
  <c r="I3059" i="6" s="1"/>
  <c r="E3059" i="6"/>
  <c r="H3058" i="6"/>
  <c r="J3058" i="6" s="1"/>
  <c r="G3058" i="6"/>
  <c r="I3058" i="6" s="1"/>
  <c r="E3058" i="6"/>
  <c r="H3057" i="6"/>
  <c r="J3057" i="6" s="1"/>
  <c r="G3057" i="6"/>
  <c r="I3057" i="6" s="1"/>
  <c r="E3057" i="6"/>
  <c r="G3056" i="6"/>
  <c r="I3056" i="6" s="1"/>
  <c r="E3056" i="6"/>
  <c r="P3054" i="6"/>
  <c r="R3054" i="6" s="1"/>
  <c r="A3054" i="6"/>
  <c r="B3054" i="6" s="1"/>
  <c r="H3053" i="6"/>
  <c r="J3053" i="6" s="1"/>
  <c r="G3053" i="6"/>
  <c r="I3053" i="6" s="1"/>
  <c r="E3053" i="6"/>
  <c r="H3052" i="6"/>
  <c r="J3052" i="6" s="1"/>
  <c r="G3052" i="6"/>
  <c r="I3052" i="6" s="1"/>
  <c r="E3052" i="6"/>
  <c r="H3051" i="6"/>
  <c r="J3051" i="6" s="1"/>
  <c r="G3051" i="6"/>
  <c r="I3051" i="6" s="1"/>
  <c r="E3051" i="6"/>
  <c r="H3050" i="6"/>
  <c r="J3050" i="6" s="1"/>
  <c r="G3050" i="6"/>
  <c r="I3050" i="6" s="1"/>
  <c r="E3050" i="6"/>
  <c r="H3049" i="6"/>
  <c r="J3049" i="6" s="1"/>
  <c r="G3049" i="6"/>
  <c r="K3054" i="6" s="1"/>
  <c r="E3049" i="6"/>
  <c r="A3047" i="6"/>
  <c r="B3047" i="6" s="1"/>
  <c r="H3046" i="6"/>
  <c r="J3046" i="6" s="1"/>
  <c r="G3046" i="6"/>
  <c r="I3046" i="6" s="1"/>
  <c r="E3046" i="6"/>
  <c r="H3045" i="6"/>
  <c r="J3045" i="6" s="1"/>
  <c r="G3045" i="6"/>
  <c r="I3045" i="6" s="1"/>
  <c r="E3045" i="6"/>
  <c r="H3044" i="6"/>
  <c r="J3044" i="6" s="1"/>
  <c r="G3044" i="6"/>
  <c r="I3044" i="6" s="1"/>
  <c r="E3044" i="6"/>
  <c r="H3043" i="6"/>
  <c r="J3043" i="6" s="1"/>
  <c r="G3043" i="6"/>
  <c r="I3043" i="6" s="1"/>
  <c r="E3043" i="6"/>
  <c r="H3042" i="6"/>
  <c r="J3042" i="6" s="1"/>
  <c r="G3042" i="6"/>
  <c r="I3042" i="6" s="1"/>
  <c r="E3042" i="6"/>
  <c r="H3041" i="6"/>
  <c r="J3041" i="6" s="1"/>
  <c r="G3041" i="6"/>
  <c r="I3041" i="6" s="1"/>
  <c r="E3041" i="6"/>
  <c r="H3040" i="6"/>
  <c r="J3040" i="6" s="1"/>
  <c r="G3040" i="6"/>
  <c r="I3040" i="6" s="1"/>
  <c r="E3040" i="6"/>
  <c r="H3039" i="6"/>
  <c r="J3039" i="6" s="1"/>
  <c r="G3039" i="6"/>
  <c r="I3039" i="6" s="1"/>
  <c r="E3039" i="6"/>
  <c r="H3038" i="6"/>
  <c r="J3038" i="6" s="1"/>
  <c r="G3038" i="6"/>
  <c r="I3038" i="6" s="1"/>
  <c r="E3038" i="6"/>
  <c r="H3037" i="6"/>
  <c r="J3037" i="6" s="1"/>
  <c r="G3037" i="6"/>
  <c r="I3037" i="6" s="1"/>
  <c r="E3037" i="6"/>
  <c r="H3036" i="6"/>
  <c r="J3036" i="6" s="1"/>
  <c r="G3036" i="6"/>
  <c r="I3036" i="6" s="1"/>
  <c r="E3036" i="6"/>
  <c r="H3035" i="6"/>
  <c r="J3035" i="6" s="1"/>
  <c r="G3035" i="6"/>
  <c r="I3035" i="6" s="1"/>
  <c r="E3035" i="6"/>
  <c r="H3034" i="6"/>
  <c r="J3034" i="6" s="1"/>
  <c r="G3034" i="6"/>
  <c r="I3034" i="6" s="1"/>
  <c r="E3034" i="6"/>
  <c r="H3033" i="6"/>
  <c r="J3033" i="6" s="1"/>
  <c r="G3033" i="6"/>
  <c r="I3033" i="6" s="1"/>
  <c r="E3033" i="6"/>
  <c r="H3032" i="6"/>
  <c r="J3032" i="6" s="1"/>
  <c r="G3032" i="6"/>
  <c r="I3032" i="6" s="1"/>
  <c r="E3032" i="6"/>
  <c r="H3031" i="6"/>
  <c r="J3031" i="6" s="1"/>
  <c r="G3031" i="6"/>
  <c r="I3031" i="6" s="1"/>
  <c r="E3031" i="6"/>
  <c r="H3030" i="6"/>
  <c r="J3030" i="6" s="1"/>
  <c r="G3030" i="6"/>
  <c r="I3030" i="6" s="1"/>
  <c r="E3030" i="6"/>
  <c r="H3029" i="6"/>
  <c r="J3029" i="6" s="1"/>
  <c r="G3029" i="6"/>
  <c r="I3029" i="6" s="1"/>
  <c r="E3029" i="6"/>
  <c r="H3028" i="6"/>
  <c r="J3028" i="6" s="1"/>
  <c r="G3028" i="6"/>
  <c r="I3028" i="6" s="1"/>
  <c r="E3028" i="6"/>
  <c r="H3027" i="6"/>
  <c r="J3027" i="6" s="1"/>
  <c r="G3027" i="6"/>
  <c r="I3027" i="6" s="1"/>
  <c r="E3027" i="6"/>
  <c r="F3024" i="6"/>
  <c r="K3065" i="6" s="1"/>
  <c r="G3023" i="6"/>
  <c r="F3023" i="6"/>
  <c r="G3022" i="6"/>
  <c r="F3022" i="6"/>
  <c r="G3021" i="6"/>
  <c r="F3021" i="6"/>
  <c r="C3018" i="6"/>
  <c r="A3018" i="6"/>
  <c r="B3018" i="6" s="1"/>
  <c r="A3014" i="6"/>
  <c r="B3014" i="6" s="1"/>
  <c r="H3013" i="6"/>
  <c r="J3013" i="6" s="1"/>
  <c r="G3013" i="6"/>
  <c r="I3013" i="6" s="1"/>
  <c r="E3013" i="6"/>
  <c r="H3012" i="6"/>
  <c r="J3012" i="6" s="1"/>
  <c r="G3012" i="6"/>
  <c r="I3012" i="6" s="1"/>
  <c r="E3012" i="6"/>
  <c r="H3011" i="6"/>
  <c r="J3011" i="6" s="1"/>
  <c r="G3011" i="6"/>
  <c r="I3011" i="6" s="1"/>
  <c r="E3011" i="6"/>
  <c r="H3010" i="6"/>
  <c r="J3010" i="6" s="1"/>
  <c r="G3010" i="6"/>
  <c r="I3010" i="6" s="1"/>
  <c r="E3010" i="6"/>
  <c r="G3009" i="6"/>
  <c r="I3009" i="6" s="1"/>
  <c r="E3009" i="6"/>
  <c r="P3007" i="6"/>
  <c r="B3007" i="6"/>
  <c r="A3007" i="6"/>
  <c r="H3006" i="6"/>
  <c r="J3006" i="6" s="1"/>
  <c r="G3006" i="6"/>
  <c r="I3006" i="6" s="1"/>
  <c r="E3006" i="6"/>
  <c r="H3005" i="6"/>
  <c r="J3005" i="6" s="1"/>
  <c r="G3005" i="6"/>
  <c r="I3005" i="6" s="1"/>
  <c r="E3005" i="6"/>
  <c r="H3004" i="6"/>
  <c r="J3004" i="6" s="1"/>
  <c r="G3004" i="6"/>
  <c r="I3004" i="6" s="1"/>
  <c r="E3004" i="6"/>
  <c r="H3003" i="6"/>
  <c r="J3003" i="6" s="1"/>
  <c r="G3003" i="6"/>
  <c r="I3003" i="6" s="1"/>
  <c r="E3003" i="6"/>
  <c r="H3002" i="6"/>
  <c r="J3002" i="6" s="1"/>
  <c r="G3002" i="6"/>
  <c r="K3007" i="6" s="1"/>
  <c r="E3002" i="6"/>
  <c r="B3000" i="6"/>
  <c r="A3000" i="6"/>
  <c r="H2999" i="6"/>
  <c r="J2999" i="6" s="1"/>
  <c r="G2999" i="6"/>
  <c r="I2999" i="6" s="1"/>
  <c r="E2999" i="6"/>
  <c r="H2998" i="6"/>
  <c r="J2998" i="6" s="1"/>
  <c r="G2998" i="6"/>
  <c r="I2998" i="6" s="1"/>
  <c r="E2998" i="6"/>
  <c r="H2997" i="6"/>
  <c r="J2997" i="6" s="1"/>
  <c r="G2997" i="6"/>
  <c r="I2997" i="6" s="1"/>
  <c r="E2997" i="6"/>
  <c r="H2996" i="6"/>
  <c r="J2996" i="6" s="1"/>
  <c r="G2996" i="6"/>
  <c r="I2996" i="6" s="1"/>
  <c r="E2996" i="6"/>
  <c r="H2995" i="6"/>
  <c r="J2995" i="6" s="1"/>
  <c r="G2995" i="6"/>
  <c r="I2995" i="6" s="1"/>
  <c r="E2995" i="6"/>
  <c r="H2994" i="6"/>
  <c r="J2994" i="6" s="1"/>
  <c r="G2994" i="6"/>
  <c r="I2994" i="6" s="1"/>
  <c r="E2994" i="6"/>
  <c r="H2993" i="6"/>
  <c r="J2993" i="6" s="1"/>
  <c r="G2993" i="6"/>
  <c r="I2993" i="6" s="1"/>
  <c r="E2993" i="6"/>
  <c r="H2992" i="6"/>
  <c r="J2992" i="6" s="1"/>
  <c r="G2992" i="6"/>
  <c r="I2992" i="6" s="1"/>
  <c r="E2992" i="6"/>
  <c r="H2991" i="6"/>
  <c r="J2991" i="6" s="1"/>
  <c r="G2991" i="6"/>
  <c r="I2991" i="6" s="1"/>
  <c r="E2991" i="6"/>
  <c r="H2990" i="6"/>
  <c r="J2990" i="6" s="1"/>
  <c r="G2990" i="6"/>
  <c r="I2990" i="6" s="1"/>
  <c r="E2990" i="6"/>
  <c r="H2989" i="6"/>
  <c r="J2989" i="6" s="1"/>
  <c r="G2989" i="6"/>
  <c r="I2989" i="6" s="1"/>
  <c r="E2989" i="6"/>
  <c r="H2988" i="6"/>
  <c r="J2988" i="6" s="1"/>
  <c r="G2988" i="6"/>
  <c r="I2988" i="6" s="1"/>
  <c r="E2988" i="6"/>
  <c r="H2987" i="6"/>
  <c r="J2987" i="6" s="1"/>
  <c r="G2987" i="6"/>
  <c r="I2987" i="6" s="1"/>
  <c r="E2987" i="6"/>
  <c r="H2986" i="6"/>
  <c r="J2986" i="6" s="1"/>
  <c r="G2986" i="6"/>
  <c r="I2986" i="6" s="1"/>
  <c r="E2986" i="6"/>
  <c r="H2985" i="6"/>
  <c r="J2985" i="6" s="1"/>
  <c r="G2985" i="6"/>
  <c r="I2985" i="6" s="1"/>
  <c r="E2985" i="6"/>
  <c r="H2984" i="6"/>
  <c r="J2984" i="6" s="1"/>
  <c r="G2984" i="6"/>
  <c r="I2984" i="6" s="1"/>
  <c r="E2984" i="6"/>
  <c r="H2983" i="6"/>
  <c r="J2983" i="6" s="1"/>
  <c r="G2983" i="6"/>
  <c r="I2983" i="6" s="1"/>
  <c r="E2983" i="6"/>
  <c r="H2982" i="6"/>
  <c r="J2982" i="6" s="1"/>
  <c r="G2982" i="6"/>
  <c r="I2982" i="6" s="1"/>
  <c r="E2982" i="6"/>
  <c r="H2981" i="6"/>
  <c r="J2981" i="6" s="1"/>
  <c r="G2981" i="6"/>
  <c r="I2981" i="6" s="1"/>
  <c r="E2981" i="6"/>
  <c r="H2980" i="6"/>
  <c r="J2980" i="6" s="1"/>
  <c r="G2980" i="6"/>
  <c r="I2980" i="6" s="1"/>
  <c r="E2980" i="6"/>
  <c r="F2977" i="6"/>
  <c r="K3018" i="6" s="1"/>
  <c r="G2976" i="6"/>
  <c r="F2976" i="6"/>
  <c r="G2975" i="6"/>
  <c r="G2974" i="6"/>
  <c r="F2974" i="6"/>
  <c r="C2971" i="6"/>
  <c r="A2971" i="6"/>
  <c r="B2971" i="6" s="1"/>
  <c r="A2967" i="6"/>
  <c r="B2967" i="6" s="1"/>
  <c r="H2966" i="6"/>
  <c r="J2966" i="6" s="1"/>
  <c r="G2966" i="6"/>
  <c r="I2966" i="6" s="1"/>
  <c r="E2966" i="6"/>
  <c r="H2965" i="6"/>
  <c r="J2965" i="6" s="1"/>
  <c r="G2965" i="6"/>
  <c r="I2965" i="6" s="1"/>
  <c r="E2965" i="6"/>
  <c r="H2964" i="6"/>
  <c r="J2964" i="6" s="1"/>
  <c r="G2964" i="6"/>
  <c r="I2964" i="6" s="1"/>
  <c r="E2964" i="6"/>
  <c r="H2963" i="6"/>
  <c r="J2963" i="6" s="1"/>
  <c r="G2963" i="6"/>
  <c r="I2963" i="6" s="1"/>
  <c r="E2963" i="6"/>
  <c r="G2962" i="6"/>
  <c r="I2962" i="6" s="1"/>
  <c r="E2962" i="6"/>
  <c r="P2960" i="6"/>
  <c r="A2960" i="6"/>
  <c r="B2960" i="6" s="1"/>
  <c r="H2959" i="6"/>
  <c r="J2959" i="6" s="1"/>
  <c r="G2959" i="6"/>
  <c r="I2959" i="6" s="1"/>
  <c r="E2959" i="6"/>
  <c r="H2958" i="6"/>
  <c r="J2958" i="6" s="1"/>
  <c r="G2958" i="6"/>
  <c r="I2958" i="6" s="1"/>
  <c r="E2958" i="6"/>
  <c r="H2957" i="6"/>
  <c r="J2957" i="6" s="1"/>
  <c r="G2957" i="6"/>
  <c r="I2957" i="6" s="1"/>
  <c r="E2957" i="6"/>
  <c r="H2956" i="6"/>
  <c r="J2956" i="6" s="1"/>
  <c r="G2956" i="6"/>
  <c r="I2956" i="6" s="1"/>
  <c r="E2956" i="6"/>
  <c r="H2955" i="6"/>
  <c r="J2955" i="6" s="1"/>
  <c r="G2955" i="6"/>
  <c r="K2960" i="6" s="1"/>
  <c r="E2955" i="6"/>
  <c r="B2953" i="6"/>
  <c r="A2953" i="6"/>
  <c r="H2952" i="6"/>
  <c r="J2952" i="6" s="1"/>
  <c r="G2952" i="6"/>
  <c r="I2952" i="6" s="1"/>
  <c r="E2952" i="6"/>
  <c r="H2951" i="6"/>
  <c r="J2951" i="6" s="1"/>
  <c r="G2951" i="6"/>
  <c r="I2951" i="6" s="1"/>
  <c r="E2951" i="6"/>
  <c r="H2950" i="6"/>
  <c r="J2950" i="6" s="1"/>
  <c r="G2950" i="6"/>
  <c r="I2950" i="6" s="1"/>
  <c r="E2950" i="6"/>
  <c r="H2949" i="6"/>
  <c r="J2949" i="6" s="1"/>
  <c r="G2949" i="6"/>
  <c r="I2949" i="6" s="1"/>
  <c r="E2949" i="6"/>
  <c r="H2948" i="6"/>
  <c r="J2948" i="6" s="1"/>
  <c r="G2948" i="6"/>
  <c r="I2948" i="6" s="1"/>
  <c r="E2948" i="6"/>
  <c r="H2947" i="6"/>
  <c r="J2947" i="6" s="1"/>
  <c r="G2947" i="6"/>
  <c r="I2947" i="6" s="1"/>
  <c r="E2947" i="6"/>
  <c r="H2946" i="6"/>
  <c r="J2946" i="6" s="1"/>
  <c r="G2946" i="6"/>
  <c r="I2946" i="6" s="1"/>
  <c r="E2946" i="6"/>
  <c r="H2945" i="6"/>
  <c r="J2945" i="6" s="1"/>
  <c r="G2945" i="6"/>
  <c r="I2945" i="6" s="1"/>
  <c r="E2945" i="6"/>
  <c r="H2944" i="6"/>
  <c r="J2944" i="6" s="1"/>
  <c r="G2944" i="6"/>
  <c r="I2944" i="6" s="1"/>
  <c r="E2944" i="6"/>
  <c r="H2943" i="6"/>
  <c r="J2943" i="6" s="1"/>
  <c r="G2943" i="6"/>
  <c r="I2943" i="6" s="1"/>
  <c r="E2943" i="6"/>
  <c r="H2942" i="6"/>
  <c r="J2942" i="6" s="1"/>
  <c r="G2942" i="6"/>
  <c r="I2942" i="6" s="1"/>
  <c r="E2942" i="6"/>
  <c r="H2941" i="6"/>
  <c r="J2941" i="6" s="1"/>
  <c r="G2941" i="6"/>
  <c r="I2941" i="6" s="1"/>
  <c r="E2941" i="6"/>
  <c r="H2940" i="6"/>
  <c r="J2940" i="6" s="1"/>
  <c r="G2940" i="6"/>
  <c r="I2940" i="6" s="1"/>
  <c r="E2940" i="6"/>
  <c r="H2939" i="6"/>
  <c r="J2939" i="6" s="1"/>
  <c r="G2939" i="6"/>
  <c r="I2939" i="6" s="1"/>
  <c r="E2939" i="6"/>
  <c r="H2938" i="6"/>
  <c r="J2938" i="6" s="1"/>
  <c r="G2938" i="6"/>
  <c r="I2938" i="6" s="1"/>
  <c r="E2938" i="6"/>
  <c r="H2937" i="6"/>
  <c r="J2937" i="6" s="1"/>
  <c r="G2937" i="6"/>
  <c r="I2937" i="6" s="1"/>
  <c r="E2937" i="6"/>
  <c r="H2936" i="6"/>
  <c r="J2936" i="6" s="1"/>
  <c r="G2936" i="6"/>
  <c r="I2936" i="6" s="1"/>
  <c r="E2936" i="6"/>
  <c r="H2935" i="6"/>
  <c r="J2935" i="6" s="1"/>
  <c r="G2935" i="6"/>
  <c r="I2935" i="6" s="1"/>
  <c r="E2935" i="6"/>
  <c r="H2934" i="6"/>
  <c r="J2934" i="6" s="1"/>
  <c r="G2934" i="6"/>
  <c r="I2934" i="6" s="1"/>
  <c r="E2934" i="6"/>
  <c r="H2933" i="6"/>
  <c r="J2933" i="6" s="1"/>
  <c r="G2933" i="6"/>
  <c r="I2933" i="6" s="1"/>
  <c r="E2933" i="6"/>
  <c r="F2930" i="6"/>
  <c r="K2971" i="6" s="1"/>
  <c r="G2929" i="6"/>
  <c r="F2929" i="6"/>
  <c r="G2928" i="6"/>
  <c r="F2928" i="6"/>
  <c r="G2927" i="6"/>
  <c r="F2927" i="6"/>
  <c r="C2924" i="6"/>
  <c r="B2924" i="6"/>
  <c r="A2924" i="6"/>
  <c r="A2920" i="6"/>
  <c r="B2920" i="6" s="1"/>
  <c r="H2919" i="6"/>
  <c r="J2919" i="6" s="1"/>
  <c r="G2919" i="6"/>
  <c r="I2919" i="6" s="1"/>
  <c r="E2919" i="6"/>
  <c r="H2918" i="6"/>
  <c r="J2918" i="6" s="1"/>
  <c r="G2918" i="6"/>
  <c r="I2918" i="6" s="1"/>
  <c r="E2918" i="6"/>
  <c r="H2917" i="6"/>
  <c r="J2917" i="6" s="1"/>
  <c r="G2917" i="6"/>
  <c r="I2917" i="6" s="1"/>
  <c r="E2917" i="6"/>
  <c r="H2916" i="6"/>
  <c r="J2916" i="6" s="1"/>
  <c r="G2916" i="6"/>
  <c r="I2916" i="6" s="1"/>
  <c r="E2916" i="6"/>
  <c r="G2915" i="6"/>
  <c r="I2915" i="6" s="1"/>
  <c r="E2915" i="6"/>
  <c r="P2913" i="6"/>
  <c r="R2913" i="6" s="1"/>
  <c r="A2913" i="6"/>
  <c r="B2913" i="6" s="1"/>
  <c r="H2912" i="6"/>
  <c r="J2912" i="6" s="1"/>
  <c r="G2912" i="6"/>
  <c r="I2912" i="6" s="1"/>
  <c r="E2912" i="6"/>
  <c r="H2911" i="6"/>
  <c r="J2911" i="6" s="1"/>
  <c r="G2911" i="6"/>
  <c r="I2911" i="6" s="1"/>
  <c r="E2911" i="6"/>
  <c r="H2910" i="6"/>
  <c r="J2910" i="6" s="1"/>
  <c r="G2910" i="6"/>
  <c r="I2910" i="6" s="1"/>
  <c r="E2910" i="6"/>
  <c r="H2909" i="6"/>
  <c r="J2909" i="6" s="1"/>
  <c r="G2909" i="6"/>
  <c r="I2909" i="6" s="1"/>
  <c r="E2909" i="6"/>
  <c r="H2908" i="6"/>
  <c r="J2908" i="6" s="1"/>
  <c r="G2908" i="6"/>
  <c r="K2913" i="6" s="1"/>
  <c r="E2908" i="6"/>
  <c r="B2906" i="6"/>
  <c r="A2906" i="6"/>
  <c r="H2905" i="6"/>
  <c r="J2905" i="6" s="1"/>
  <c r="G2905" i="6"/>
  <c r="I2905" i="6" s="1"/>
  <c r="E2905" i="6"/>
  <c r="H2904" i="6"/>
  <c r="J2904" i="6" s="1"/>
  <c r="G2904" i="6"/>
  <c r="I2904" i="6" s="1"/>
  <c r="E2904" i="6"/>
  <c r="H2903" i="6"/>
  <c r="J2903" i="6" s="1"/>
  <c r="G2903" i="6"/>
  <c r="I2903" i="6" s="1"/>
  <c r="E2903" i="6"/>
  <c r="H2902" i="6"/>
  <c r="J2902" i="6" s="1"/>
  <c r="G2902" i="6"/>
  <c r="I2902" i="6" s="1"/>
  <c r="E2902" i="6"/>
  <c r="H2901" i="6"/>
  <c r="J2901" i="6" s="1"/>
  <c r="G2901" i="6"/>
  <c r="I2901" i="6" s="1"/>
  <c r="E2901" i="6"/>
  <c r="H2900" i="6"/>
  <c r="J2900" i="6" s="1"/>
  <c r="G2900" i="6"/>
  <c r="I2900" i="6" s="1"/>
  <c r="E2900" i="6"/>
  <c r="H2899" i="6"/>
  <c r="J2899" i="6" s="1"/>
  <c r="G2899" i="6"/>
  <c r="I2899" i="6" s="1"/>
  <c r="E2899" i="6"/>
  <c r="H2898" i="6"/>
  <c r="J2898" i="6" s="1"/>
  <c r="G2898" i="6"/>
  <c r="I2898" i="6" s="1"/>
  <c r="E2898" i="6"/>
  <c r="H2897" i="6"/>
  <c r="J2897" i="6" s="1"/>
  <c r="G2897" i="6"/>
  <c r="I2897" i="6" s="1"/>
  <c r="E2897" i="6"/>
  <c r="H2896" i="6"/>
  <c r="J2896" i="6" s="1"/>
  <c r="G2896" i="6"/>
  <c r="I2896" i="6" s="1"/>
  <c r="E2896" i="6"/>
  <c r="H2895" i="6"/>
  <c r="J2895" i="6" s="1"/>
  <c r="G2895" i="6"/>
  <c r="I2895" i="6" s="1"/>
  <c r="E2895" i="6"/>
  <c r="H2894" i="6"/>
  <c r="J2894" i="6" s="1"/>
  <c r="G2894" i="6"/>
  <c r="I2894" i="6" s="1"/>
  <c r="E2894" i="6"/>
  <c r="H2893" i="6"/>
  <c r="J2893" i="6" s="1"/>
  <c r="G2893" i="6"/>
  <c r="I2893" i="6" s="1"/>
  <c r="E2893" i="6"/>
  <c r="H2892" i="6"/>
  <c r="J2892" i="6" s="1"/>
  <c r="G2892" i="6"/>
  <c r="I2892" i="6" s="1"/>
  <c r="E2892" i="6"/>
  <c r="J2891" i="6"/>
  <c r="I2891" i="6"/>
  <c r="E2891" i="6"/>
  <c r="J2890" i="6"/>
  <c r="I2890" i="6"/>
  <c r="E2890" i="6"/>
  <c r="J2889" i="6"/>
  <c r="I2889" i="6"/>
  <c r="E2889" i="6"/>
  <c r="H2888" i="6"/>
  <c r="J2888" i="6" s="1"/>
  <c r="G2888" i="6"/>
  <c r="I2888" i="6" s="1"/>
  <c r="E2888" i="6"/>
  <c r="H2887" i="6"/>
  <c r="J2887" i="6" s="1"/>
  <c r="G2887" i="6"/>
  <c r="I2887" i="6" s="1"/>
  <c r="E2887" i="6"/>
  <c r="H2886" i="6"/>
  <c r="J2886" i="6" s="1"/>
  <c r="G2886" i="6"/>
  <c r="I2886" i="6" s="1"/>
  <c r="E2886" i="6"/>
  <c r="F2883" i="6"/>
  <c r="K2924" i="6" s="1"/>
  <c r="G2882" i="6"/>
  <c r="F2882" i="6"/>
  <c r="G2881" i="6"/>
  <c r="F2881" i="6"/>
  <c r="G2880" i="6"/>
  <c r="F2880" i="6"/>
  <c r="C2877" i="6"/>
  <c r="B2877" i="6"/>
  <c r="A2877" i="6"/>
  <c r="A2873" i="6"/>
  <c r="B2873" i="6" s="1"/>
  <c r="H2872" i="6"/>
  <c r="J2872" i="6" s="1"/>
  <c r="G2872" i="6"/>
  <c r="I2872" i="6" s="1"/>
  <c r="E2872" i="6"/>
  <c r="H2871" i="6"/>
  <c r="J2871" i="6" s="1"/>
  <c r="G2871" i="6"/>
  <c r="I2871" i="6" s="1"/>
  <c r="E2871" i="6"/>
  <c r="H2870" i="6"/>
  <c r="J2870" i="6" s="1"/>
  <c r="G2870" i="6"/>
  <c r="I2870" i="6" s="1"/>
  <c r="E2870" i="6"/>
  <c r="H2869" i="6"/>
  <c r="J2869" i="6" s="1"/>
  <c r="G2869" i="6"/>
  <c r="I2869" i="6" s="1"/>
  <c r="E2869" i="6"/>
  <c r="G2868" i="6"/>
  <c r="I2868" i="6" s="1"/>
  <c r="E2868" i="6"/>
  <c r="P2866" i="6"/>
  <c r="R2866" i="6" s="1"/>
  <c r="A2866" i="6"/>
  <c r="B2866" i="6" s="1"/>
  <c r="H2865" i="6"/>
  <c r="J2865" i="6" s="1"/>
  <c r="G2865" i="6"/>
  <c r="I2865" i="6" s="1"/>
  <c r="E2865" i="6"/>
  <c r="H2864" i="6"/>
  <c r="J2864" i="6" s="1"/>
  <c r="G2864" i="6"/>
  <c r="I2864" i="6" s="1"/>
  <c r="E2864" i="6"/>
  <c r="H2863" i="6"/>
  <c r="J2863" i="6" s="1"/>
  <c r="G2863" i="6"/>
  <c r="I2863" i="6" s="1"/>
  <c r="E2863" i="6"/>
  <c r="H2862" i="6"/>
  <c r="J2862" i="6" s="1"/>
  <c r="G2862" i="6"/>
  <c r="I2862" i="6" s="1"/>
  <c r="E2862" i="6"/>
  <c r="H2861" i="6"/>
  <c r="J2861" i="6" s="1"/>
  <c r="G2861" i="6"/>
  <c r="K2866" i="6" s="1"/>
  <c r="E2861" i="6"/>
  <c r="B2859" i="6"/>
  <c r="A2859" i="6"/>
  <c r="H2858" i="6"/>
  <c r="J2858" i="6" s="1"/>
  <c r="G2858" i="6"/>
  <c r="I2858" i="6" s="1"/>
  <c r="E2858" i="6"/>
  <c r="H2857" i="6"/>
  <c r="J2857" i="6" s="1"/>
  <c r="G2857" i="6"/>
  <c r="I2857" i="6" s="1"/>
  <c r="E2857" i="6"/>
  <c r="H2856" i="6"/>
  <c r="J2856" i="6" s="1"/>
  <c r="G2856" i="6"/>
  <c r="I2856" i="6" s="1"/>
  <c r="E2856" i="6"/>
  <c r="H2855" i="6"/>
  <c r="J2855" i="6" s="1"/>
  <c r="G2855" i="6"/>
  <c r="I2855" i="6" s="1"/>
  <c r="E2855" i="6"/>
  <c r="H2854" i="6"/>
  <c r="J2854" i="6" s="1"/>
  <c r="G2854" i="6"/>
  <c r="I2854" i="6" s="1"/>
  <c r="E2854" i="6"/>
  <c r="H2853" i="6"/>
  <c r="J2853" i="6" s="1"/>
  <c r="G2853" i="6"/>
  <c r="I2853" i="6" s="1"/>
  <c r="E2853" i="6"/>
  <c r="H2852" i="6"/>
  <c r="J2852" i="6" s="1"/>
  <c r="G2852" i="6"/>
  <c r="I2852" i="6" s="1"/>
  <c r="E2852" i="6"/>
  <c r="H2851" i="6"/>
  <c r="J2851" i="6" s="1"/>
  <c r="G2851" i="6"/>
  <c r="I2851" i="6" s="1"/>
  <c r="E2851" i="6"/>
  <c r="H2850" i="6"/>
  <c r="J2850" i="6" s="1"/>
  <c r="G2850" i="6"/>
  <c r="I2850" i="6" s="1"/>
  <c r="E2850" i="6"/>
  <c r="H2849" i="6"/>
  <c r="J2849" i="6" s="1"/>
  <c r="G2849" i="6"/>
  <c r="I2849" i="6" s="1"/>
  <c r="E2849" i="6"/>
  <c r="H2848" i="6"/>
  <c r="J2848" i="6" s="1"/>
  <c r="G2848" i="6"/>
  <c r="I2848" i="6" s="1"/>
  <c r="E2848" i="6"/>
  <c r="H2847" i="6"/>
  <c r="J2847" i="6" s="1"/>
  <c r="G2847" i="6"/>
  <c r="I2847" i="6" s="1"/>
  <c r="E2847" i="6"/>
  <c r="H2846" i="6"/>
  <c r="J2846" i="6" s="1"/>
  <c r="G2846" i="6"/>
  <c r="I2846" i="6" s="1"/>
  <c r="E2846" i="6"/>
  <c r="H2845" i="6"/>
  <c r="J2845" i="6" s="1"/>
  <c r="G2845" i="6"/>
  <c r="I2845" i="6" s="1"/>
  <c r="E2845" i="6"/>
  <c r="H2844" i="6"/>
  <c r="J2844" i="6" s="1"/>
  <c r="G2844" i="6"/>
  <c r="I2844" i="6" s="1"/>
  <c r="E2844" i="6"/>
  <c r="H2843" i="6"/>
  <c r="J2843" i="6" s="1"/>
  <c r="G2843" i="6"/>
  <c r="I2843" i="6" s="1"/>
  <c r="E2843" i="6"/>
  <c r="H2842" i="6"/>
  <c r="J2842" i="6" s="1"/>
  <c r="G2842" i="6"/>
  <c r="I2842" i="6" s="1"/>
  <c r="E2842" i="6"/>
  <c r="H2841" i="6"/>
  <c r="J2841" i="6" s="1"/>
  <c r="G2841" i="6"/>
  <c r="I2841" i="6" s="1"/>
  <c r="E2841" i="6"/>
  <c r="H2840" i="6"/>
  <c r="J2840" i="6" s="1"/>
  <c r="G2840" i="6"/>
  <c r="I2840" i="6" s="1"/>
  <c r="E2840" i="6"/>
  <c r="H2839" i="6"/>
  <c r="J2839" i="6" s="1"/>
  <c r="G2839" i="6"/>
  <c r="I2839" i="6" s="1"/>
  <c r="E2839" i="6"/>
  <c r="F2836" i="6"/>
  <c r="K2877" i="6" s="1"/>
  <c r="G2835" i="6"/>
  <c r="F2835" i="6"/>
  <c r="G2834" i="6"/>
  <c r="F2834" i="6"/>
  <c r="G2833" i="6"/>
  <c r="F2833" i="6"/>
  <c r="C2830" i="6"/>
  <c r="A2830" i="6"/>
  <c r="B2830" i="6" s="1"/>
  <c r="B2826" i="6"/>
  <c r="A2826" i="6"/>
  <c r="H2825" i="6"/>
  <c r="J2825" i="6" s="1"/>
  <c r="G2825" i="6"/>
  <c r="I2825" i="6" s="1"/>
  <c r="E2825" i="6"/>
  <c r="H2824" i="6"/>
  <c r="J2824" i="6" s="1"/>
  <c r="G2824" i="6"/>
  <c r="I2824" i="6" s="1"/>
  <c r="E2824" i="6"/>
  <c r="H2823" i="6"/>
  <c r="J2823" i="6" s="1"/>
  <c r="G2823" i="6"/>
  <c r="I2823" i="6" s="1"/>
  <c r="E2823" i="6"/>
  <c r="H2822" i="6"/>
  <c r="J2822" i="6" s="1"/>
  <c r="G2822" i="6"/>
  <c r="I2822" i="6" s="1"/>
  <c r="E2822" i="6"/>
  <c r="G2821" i="6"/>
  <c r="I2821" i="6" s="1"/>
  <c r="E2821" i="6"/>
  <c r="P2819" i="6"/>
  <c r="R2819" i="6" s="1"/>
  <c r="A2819" i="6"/>
  <c r="B2819" i="6" s="1"/>
  <c r="H2818" i="6"/>
  <c r="J2818" i="6" s="1"/>
  <c r="G2818" i="6"/>
  <c r="I2818" i="6" s="1"/>
  <c r="E2818" i="6"/>
  <c r="H2817" i="6"/>
  <c r="J2817" i="6" s="1"/>
  <c r="G2817" i="6"/>
  <c r="I2817" i="6" s="1"/>
  <c r="E2817" i="6"/>
  <c r="H2816" i="6"/>
  <c r="J2816" i="6" s="1"/>
  <c r="G2816" i="6"/>
  <c r="I2816" i="6" s="1"/>
  <c r="E2816" i="6"/>
  <c r="H2815" i="6"/>
  <c r="J2815" i="6" s="1"/>
  <c r="G2815" i="6"/>
  <c r="I2815" i="6" s="1"/>
  <c r="E2815" i="6"/>
  <c r="H2814" i="6"/>
  <c r="J2814" i="6" s="1"/>
  <c r="G2814" i="6"/>
  <c r="K2819" i="6" s="1"/>
  <c r="E2814" i="6"/>
  <c r="A2812" i="6"/>
  <c r="B2812" i="6" s="1"/>
  <c r="H2811" i="6"/>
  <c r="J2811" i="6" s="1"/>
  <c r="G2811" i="6"/>
  <c r="I2811" i="6" s="1"/>
  <c r="E2811" i="6"/>
  <c r="H2810" i="6"/>
  <c r="J2810" i="6" s="1"/>
  <c r="G2810" i="6"/>
  <c r="I2810" i="6" s="1"/>
  <c r="E2810" i="6"/>
  <c r="H2809" i="6"/>
  <c r="J2809" i="6" s="1"/>
  <c r="G2809" i="6"/>
  <c r="I2809" i="6" s="1"/>
  <c r="E2809" i="6"/>
  <c r="H2808" i="6"/>
  <c r="J2808" i="6" s="1"/>
  <c r="G2808" i="6"/>
  <c r="I2808" i="6" s="1"/>
  <c r="E2808" i="6"/>
  <c r="H2807" i="6"/>
  <c r="J2807" i="6" s="1"/>
  <c r="G2807" i="6"/>
  <c r="I2807" i="6" s="1"/>
  <c r="E2807" i="6"/>
  <c r="H2806" i="6"/>
  <c r="J2806" i="6" s="1"/>
  <c r="G2806" i="6"/>
  <c r="I2806" i="6" s="1"/>
  <c r="E2806" i="6"/>
  <c r="H2805" i="6"/>
  <c r="J2805" i="6" s="1"/>
  <c r="G2805" i="6"/>
  <c r="I2805" i="6" s="1"/>
  <c r="E2805" i="6"/>
  <c r="H2804" i="6"/>
  <c r="J2804" i="6" s="1"/>
  <c r="G2804" i="6"/>
  <c r="I2804" i="6" s="1"/>
  <c r="E2804" i="6"/>
  <c r="H2803" i="6"/>
  <c r="J2803" i="6" s="1"/>
  <c r="G2803" i="6"/>
  <c r="I2803" i="6" s="1"/>
  <c r="E2803" i="6"/>
  <c r="H2802" i="6"/>
  <c r="J2802" i="6" s="1"/>
  <c r="G2802" i="6"/>
  <c r="I2802" i="6" s="1"/>
  <c r="E2802" i="6"/>
  <c r="H2801" i="6"/>
  <c r="J2801" i="6" s="1"/>
  <c r="G2801" i="6"/>
  <c r="I2801" i="6" s="1"/>
  <c r="E2801" i="6"/>
  <c r="H2800" i="6"/>
  <c r="J2800" i="6" s="1"/>
  <c r="G2800" i="6"/>
  <c r="I2800" i="6" s="1"/>
  <c r="E2800" i="6"/>
  <c r="H2799" i="6"/>
  <c r="J2799" i="6" s="1"/>
  <c r="G2799" i="6"/>
  <c r="I2799" i="6" s="1"/>
  <c r="E2799" i="6"/>
  <c r="H2798" i="6"/>
  <c r="J2798" i="6" s="1"/>
  <c r="G2798" i="6"/>
  <c r="I2798" i="6" s="1"/>
  <c r="E2798" i="6"/>
  <c r="H2797" i="6"/>
  <c r="J2797" i="6" s="1"/>
  <c r="G2797" i="6"/>
  <c r="I2797" i="6" s="1"/>
  <c r="E2797" i="6"/>
  <c r="H2796" i="6"/>
  <c r="J2796" i="6" s="1"/>
  <c r="G2796" i="6"/>
  <c r="I2796" i="6" s="1"/>
  <c r="E2796" i="6"/>
  <c r="H2795" i="6"/>
  <c r="J2795" i="6" s="1"/>
  <c r="G2795" i="6"/>
  <c r="I2795" i="6" s="1"/>
  <c r="E2795" i="6"/>
  <c r="H2794" i="6"/>
  <c r="J2794" i="6" s="1"/>
  <c r="G2794" i="6"/>
  <c r="I2794" i="6" s="1"/>
  <c r="E2794" i="6"/>
  <c r="H2793" i="6"/>
  <c r="J2793" i="6" s="1"/>
  <c r="G2793" i="6"/>
  <c r="I2793" i="6" s="1"/>
  <c r="E2793" i="6"/>
  <c r="H2792" i="6"/>
  <c r="J2792" i="6" s="1"/>
  <c r="G2792" i="6"/>
  <c r="I2792" i="6" s="1"/>
  <c r="E2792" i="6"/>
  <c r="F2789" i="6"/>
  <c r="K2830" i="6" s="1"/>
  <c r="G2788" i="6"/>
  <c r="F2788" i="6"/>
  <c r="G2787" i="6"/>
  <c r="F2787" i="6"/>
  <c r="G2786" i="6"/>
  <c r="F2786" i="6"/>
  <c r="C2783" i="6"/>
  <c r="A2783" i="6"/>
  <c r="B2783" i="6" s="1"/>
  <c r="A2779" i="6"/>
  <c r="B2779" i="6" s="1"/>
  <c r="H2778" i="6"/>
  <c r="J2778" i="6" s="1"/>
  <c r="G2778" i="6"/>
  <c r="I2778" i="6" s="1"/>
  <c r="E2778" i="6"/>
  <c r="H2777" i="6"/>
  <c r="J2777" i="6" s="1"/>
  <c r="G2777" i="6"/>
  <c r="I2777" i="6" s="1"/>
  <c r="E2777" i="6"/>
  <c r="H2776" i="6"/>
  <c r="J2776" i="6" s="1"/>
  <c r="G2776" i="6"/>
  <c r="I2776" i="6" s="1"/>
  <c r="E2776" i="6"/>
  <c r="H2775" i="6"/>
  <c r="J2775" i="6" s="1"/>
  <c r="G2775" i="6"/>
  <c r="I2775" i="6" s="1"/>
  <c r="E2775" i="6"/>
  <c r="G2774" i="6"/>
  <c r="I2774" i="6" s="1"/>
  <c r="E2774" i="6"/>
  <c r="P2772" i="6"/>
  <c r="R2772" i="6" s="1"/>
  <c r="B2772" i="6"/>
  <c r="A2772" i="6"/>
  <c r="H2771" i="6"/>
  <c r="J2771" i="6" s="1"/>
  <c r="G2771" i="6"/>
  <c r="I2771" i="6" s="1"/>
  <c r="E2771" i="6"/>
  <c r="H2770" i="6"/>
  <c r="J2770" i="6" s="1"/>
  <c r="G2770" i="6"/>
  <c r="I2770" i="6" s="1"/>
  <c r="E2770" i="6"/>
  <c r="H2769" i="6"/>
  <c r="J2769" i="6" s="1"/>
  <c r="G2769" i="6"/>
  <c r="I2769" i="6" s="1"/>
  <c r="E2769" i="6"/>
  <c r="H2768" i="6"/>
  <c r="J2768" i="6" s="1"/>
  <c r="G2768" i="6"/>
  <c r="I2768" i="6" s="1"/>
  <c r="E2768" i="6"/>
  <c r="H2767" i="6"/>
  <c r="J2767" i="6" s="1"/>
  <c r="G2767" i="6"/>
  <c r="K2772" i="6" s="1"/>
  <c r="E2767" i="6"/>
  <c r="A2765" i="6"/>
  <c r="B2765" i="6" s="1"/>
  <c r="H2764" i="6"/>
  <c r="J2764" i="6" s="1"/>
  <c r="G2764" i="6"/>
  <c r="I2764" i="6" s="1"/>
  <c r="E2764" i="6"/>
  <c r="H2763" i="6"/>
  <c r="J2763" i="6" s="1"/>
  <c r="G2763" i="6"/>
  <c r="I2763" i="6" s="1"/>
  <c r="E2763" i="6"/>
  <c r="H2762" i="6"/>
  <c r="J2762" i="6" s="1"/>
  <c r="G2762" i="6"/>
  <c r="I2762" i="6" s="1"/>
  <c r="E2762" i="6"/>
  <c r="H2761" i="6"/>
  <c r="J2761" i="6" s="1"/>
  <c r="G2761" i="6"/>
  <c r="I2761" i="6" s="1"/>
  <c r="E2761" i="6"/>
  <c r="H2760" i="6"/>
  <c r="J2760" i="6" s="1"/>
  <c r="G2760" i="6"/>
  <c r="I2760" i="6" s="1"/>
  <c r="E2760" i="6"/>
  <c r="H2759" i="6"/>
  <c r="J2759" i="6" s="1"/>
  <c r="G2759" i="6"/>
  <c r="I2759" i="6" s="1"/>
  <c r="E2759" i="6"/>
  <c r="H2758" i="6"/>
  <c r="J2758" i="6" s="1"/>
  <c r="G2758" i="6"/>
  <c r="I2758" i="6" s="1"/>
  <c r="E2758" i="6"/>
  <c r="H2757" i="6"/>
  <c r="J2757" i="6" s="1"/>
  <c r="G2757" i="6"/>
  <c r="I2757" i="6" s="1"/>
  <c r="E2757" i="6"/>
  <c r="H2756" i="6"/>
  <c r="J2756" i="6" s="1"/>
  <c r="G2756" i="6"/>
  <c r="I2756" i="6" s="1"/>
  <c r="E2756" i="6"/>
  <c r="H2755" i="6"/>
  <c r="J2755" i="6" s="1"/>
  <c r="G2755" i="6"/>
  <c r="I2755" i="6" s="1"/>
  <c r="E2755" i="6"/>
  <c r="H2754" i="6"/>
  <c r="J2754" i="6" s="1"/>
  <c r="G2754" i="6"/>
  <c r="I2754" i="6" s="1"/>
  <c r="E2754" i="6"/>
  <c r="H2753" i="6"/>
  <c r="J2753" i="6" s="1"/>
  <c r="G2753" i="6"/>
  <c r="I2753" i="6" s="1"/>
  <c r="E2753" i="6"/>
  <c r="H2752" i="6"/>
  <c r="J2752" i="6" s="1"/>
  <c r="G2752" i="6"/>
  <c r="I2752" i="6" s="1"/>
  <c r="E2752" i="6"/>
  <c r="H2751" i="6"/>
  <c r="J2751" i="6" s="1"/>
  <c r="G2751" i="6"/>
  <c r="I2751" i="6" s="1"/>
  <c r="E2751" i="6"/>
  <c r="H2750" i="6"/>
  <c r="J2750" i="6" s="1"/>
  <c r="G2750" i="6"/>
  <c r="I2750" i="6" s="1"/>
  <c r="E2750" i="6"/>
  <c r="H2749" i="6"/>
  <c r="J2749" i="6" s="1"/>
  <c r="G2749" i="6"/>
  <c r="I2749" i="6" s="1"/>
  <c r="E2749" i="6"/>
  <c r="H2748" i="6"/>
  <c r="J2748" i="6" s="1"/>
  <c r="G2748" i="6"/>
  <c r="I2748" i="6" s="1"/>
  <c r="E2748" i="6"/>
  <c r="H2747" i="6"/>
  <c r="J2747" i="6" s="1"/>
  <c r="G2747" i="6"/>
  <c r="I2747" i="6" s="1"/>
  <c r="E2747" i="6"/>
  <c r="H2746" i="6"/>
  <c r="J2746" i="6" s="1"/>
  <c r="G2746" i="6"/>
  <c r="I2746" i="6" s="1"/>
  <c r="E2746" i="6"/>
  <c r="H2745" i="6"/>
  <c r="J2745" i="6" s="1"/>
  <c r="G2745" i="6"/>
  <c r="I2745" i="6" s="1"/>
  <c r="E2745" i="6"/>
  <c r="F2742" i="6"/>
  <c r="K2783" i="6" s="1"/>
  <c r="G2741" i="6"/>
  <c r="F2741" i="6"/>
  <c r="G2740" i="6"/>
  <c r="F2740" i="6"/>
  <c r="G2739" i="6"/>
  <c r="F2739" i="6"/>
  <c r="C2736" i="6"/>
  <c r="A2736" i="6"/>
  <c r="B2736" i="6" s="1"/>
  <c r="A2732" i="6"/>
  <c r="B2732" i="6" s="1"/>
  <c r="H2731" i="6"/>
  <c r="J2731" i="6" s="1"/>
  <c r="G2731" i="6"/>
  <c r="I2731" i="6" s="1"/>
  <c r="E2731" i="6"/>
  <c r="H2730" i="6"/>
  <c r="J2730" i="6" s="1"/>
  <c r="G2730" i="6"/>
  <c r="I2730" i="6" s="1"/>
  <c r="E2730" i="6"/>
  <c r="H2729" i="6"/>
  <c r="J2729" i="6" s="1"/>
  <c r="G2729" i="6"/>
  <c r="I2729" i="6" s="1"/>
  <c r="E2729" i="6"/>
  <c r="H2728" i="6"/>
  <c r="J2728" i="6" s="1"/>
  <c r="G2728" i="6"/>
  <c r="I2728" i="6" s="1"/>
  <c r="E2728" i="6"/>
  <c r="G2727" i="6"/>
  <c r="I2727" i="6" s="1"/>
  <c r="E2727" i="6"/>
  <c r="P2725" i="6"/>
  <c r="R2725" i="6" s="1"/>
  <c r="B2725" i="6"/>
  <c r="A2725" i="6"/>
  <c r="H2724" i="6"/>
  <c r="J2724" i="6" s="1"/>
  <c r="G2724" i="6"/>
  <c r="I2724" i="6" s="1"/>
  <c r="E2724" i="6"/>
  <c r="H2723" i="6"/>
  <c r="J2723" i="6" s="1"/>
  <c r="G2723" i="6"/>
  <c r="I2723" i="6" s="1"/>
  <c r="E2723" i="6"/>
  <c r="H2722" i="6"/>
  <c r="J2722" i="6" s="1"/>
  <c r="G2722" i="6"/>
  <c r="I2722" i="6" s="1"/>
  <c r="E2722" i="6"/>
  <c r="H2721" i="6"/>
  <c r="J2721" i="6" s="1"/>
  <c r="G2721" i="6"/>
  <c r="I2721" i="6" s="1"/>
  <c r="E2721" i="6"/>
  <c r="H2720" i="6"/>
  <c r="J2720" i="6" s="1"/>
  <c r="G2720" i="6"/>
  <c r="K2725" i="6" s="1"/>
  <c r="E2720" i="6"/>
  <c r="A2718" i="6"/>
  <c r="B2718" i="6" s="1"/>
  <c r="H2717" i="6"/>
  <c r="J2717" i="6" s="1"/>
  <c r="G2717" i="6"/>
  <c r="I2717" i="6" s="1"/>
  <c r="E2717" i="6"/>
  <c r="H2716" i="6"/>
  <c r="J2716" i="6" s="1"/>
  <c r="G2716" i="6"/>
  <c r="I2716" i="6" s="1"/>
  <c r="E2716" i="6"/>
  <c r="H2715" i="6"/>
  <c r="J2715" i="6" s="1"/>
  <c r="G2715" i="6"/>
  <c r="I2715" i="6" s="1"/>
  <c r="E2715" i="6"/>
  <c r="H2714" i="6"/>
  <c r="J2714" i="6" s="1"/>
  <c r="G2714" i="6"/>
  <c r="I2714" i="6" s="1"/>
  <c r="E2714" i="6"/>
  <c r="H2713" i="6"/>
  <c r="J2713" i="6" s="1"/>
  <c r="G2713" i="6"/>
  <c r="I2713" i="6" s="1"/>
  <c r="E2713" i="6"/>
  <c r="H2712" i="6"/>
  <c r="J2712" i="6" s="1"/>
  <c r="G2712" i="6"/>
  <c r="I2712" i="6" s="1"/>
  <c r="E2712" i="6"/>
  <c r="H2711" i="6"/>
  <c r="J2711" i="6" s="1"/>
  <c r="G2711" i="6"/>
  <c r="I2711" i="6" s="1"/>
  <c r="E2711" i="6"/>
  <c r="H2710" i="6"/>
  <c r="J2710" i="6" s="1"/>
  <c r="G2710" i="6"/>
  <c r="I2710" i="6" s="1"/>
  <c r="E2710" i="6"/>
  <c r="H2709" i="6"/>
  <c r="J2709" i="6" s="1"/>
  <c r="G2709" i="6"/>
  <c r="I2709" i="6" s="1"/>
  <c r="E2709" i="6"/>
  <c r="H2708" i="6"/>
  <c r="J2708" i="6" s="1"/>
  <c r="G2708" i="6"/>
  <c r="I2708" i="6" s="1"/>
  <c r="E2708" i="6"/>
  <c r="H2707" i="6"/>
  <c r="J2707" i="6" s="1"/>
  <c r="G2707" i="6"/>
  <c r="I2707" i="6" s="1"/>
  <c r="E2707" i="6"/>
  <c r="H2706" i="6"/>
  <c r="J2706" i="6" s="1"/>
  <c r="G2706" i="6"/>
  <c r="I2706" i="6" s="1"/>
  <c r="E2706" i="6"/>
  <c r="H2705" i="6"/>
  <c r="J2705" i="6" s="1"/>
  <c r="G2705" i="6"/>
  <c r="I2705" i="6" s="1"/>
  <c r="E2705" i="6"/>
  <c r="H2704" i="6"/>
  <c r="J2704" i="6" s="1"/>
  <c r="G2704" i="6"/>
  <c r="I2704" i="6" s="1"/>
  <c r="E2704" i="6"/>
  <c r="H2703" i="6"/>
  <c r="J2703" i="6" s="1"/>
  <c r="G2703" i="6"/>
  <c r="I2703" i="6" s="1"/>
  <c r="E2703" i="6"/>
  <c r="H2702" i="6"/>
  <c r="J2702" i="6" s="1"/>
  <c r="G2702" i="6"/>
  <c r="I2702" i="6" s="1"/>
  <c r="E2702" i="6"/>
  <c r="H2701" i="6"/>
  <c r="J2701" i="6" s="1"/>
  <c r="G2701" i="6"/>
  <c r="I2701" i="6" s="1"/>
  <c r="E2701" i="6"/>
  <c r="H2700" i="6"/>
  <c r="J2700" i="6" s="1"/>
  <c r="G2700" i="6"/>
  <c r="I2700" i="6" s="1"/>
  <c r="E2700" i="6"/>
  <c r="H2699" i="6"/>
  <c r="J2699" i="6" s="1"/>
  <c r="G2699" i="6"/>
  <c r="I2699" i="6" s="1"/>
  <c r="E2699" i="6"/>
  <c r="H2698" i="6"/>
  <c r="J2698" i="6" s="1"/>
  <c r="G2698" i="6"/>
  <c r="I2698" i="6" s="1"/>
  <c r="E2698" i="6"/>
  <c r="F2695" i="6"/>
  <c r="K2736" i="6" s="1"/>
  <c r="G2694" i="6"/>
  <c r="F2694" i="6"/>
  <c r="G2693" i="6"/>
  <c r="F2693" i="6"/>
  <c r="G2692" i="6"/>
  <c r="F2692" i="6"/>
  <c r="C2689" i="6"/>
  <c r="A2689" i="6"/>
  <c r="B2689" i="6" s="1"/>
  <c r="B2685" i="6"/>
  <c r="A2685" i="6"/>
  <c r="H2684" i="6"/>
  <c r="J2684" i="6" s="1"/>
  <c r="G2684" i="6"/>
  <c r="I2684" i="6" s="1"/>
  <c r="E2684" i="6"/>
  <c r="H2683" i="6"/>
  <c r="J2683" i="6" s="1"/>
  <c r="G2683" i="6"/>
  <c r="I2683" i="6" s="1"/>
  <c r="E2683" i="6"/>
  <c r="H2682" i="6"/>
  <c r="J2682" i="6" s="1"/>
  <c r="G2682" i="6"/>
  <c r="I2682" i="6" s="1"/>
  <c r="E2682" i="6"/>
  <c r="H2681" i="6"/>
  <c r="J2681" i="6" s="1"/>
  <c r="G2681" i="6"/>
  <c r="I2681" i="6" s="1"/>
  <c r="E2681" i="6"/>
  <c r="G2680" i="6"/>
  <c r="I2680" i="6" s="1"/>
  <c r="E2680" i="6"/>
  <c r="P2678" i="6"/>
  <c r="B2678" i="6"/>
  <c r="A2678" i="6"/>
  <c r="H2677" i="6"/>
  <c r="J2677" i="6" s="1"/>
  <c r="G2677" i="6"/>
  <c r="I2677" i="6" s="1"/>
  <c r="E2677" i="6"/>
  <c r="H2676" i="6"/>
  <c r="J2676" i="6" s="1"/>
  <c r="G2676" i="6"/>
  <c r="I2676" i="6" s="1"/>
  <c r="E2676" i="6"/>
  <c r="H2675" i="6"/>
  <c r="J2675" i="6" s="1"/>
  <c r="G2675" i="6"/>
  <c r="I2675" i="6" s="1"/>
  <c r="E2675" i="6"/>
  <c r="H2674" i="6"/>
  <c r="J2674" i="6" s="1"/>
  <c r="G2674" i="6"/>
  <c r="I2674" i="6" s="1"/>
  <c r="E2674" i="6"/>
  <c r="H2673" i="6"/>
  <c r="J2673" i="6" s="1"/>
  <c r="G2673" i="6"/>
  <c r="K2678" i="6" s="1"/>
  <c r="E2673" i="6"/>
  <c r="A2671" i="6"/>
  <c r="B2671" i="6" s="1"/>
  <c r="H2670" i="6"/>
  <c r="J2670" i="6" s="1"/>
  <c r="G2670" i="6"/>
  <c r="I2670" i="6" s="1"/>
  <c r="E2670" i="6"/>
  <c r="H2669" i="6"/>
  <c r="J2669" i="6" s="1"/>
  <c r="G2669" i="6"/>
  <c r="I2669" i="6" s="1"/>
  <c r="E2669" i="6"/>
  <c r="H2668" i="6"/>
  <c r="J2668" i="6" s="1"/>
  <c r="G2668" i="6"/>
  <c r="I2668" i="6" s="1"/>
  <c r="E2668" i="6"/>
  <c r="H2667" i="6"/>
  <c r="J2667" i="6" s="1"/>
  <c r="G2667" i="6"/>
  <c r="I2667" i="6" s="1"/>
  <c r="E2667" i="6"/>
  <c r="H2666" i="6"/>
  <c r="J2666" i="6" s="1"/>
  <c r="G2666" i="6"/>
  <c r="I2666" i="6" s="1"/>
  <c r="E2666" i="6"/>
  <c r="H2665" i="6"/>
  <c r="J2665" i="6" s="1"/>
  <c r="G2665" i="6"/>
  <c r="I2665" i="6" s="1"/>
  <c r="E2665" i="6"/>
  <c r="H2664" i="6"/>
  <c r="J2664" i="6" s="1"/>
  <c r="G2664" i="6"/>
  <c r="I2664" i="6" s="1"/>
  <c r="E2664" i="6"/>
  <c r="H2663" i="6"/>
  <c r="J2663" i="6" s="1"/>
  <c r="G2663" i="6"/>
  <c r="I2663" i="6" s="1"/>
  <c r="E2663" i="6"/>
  <c r="H2662" i="6"/>
  <c r="J2662" i="6" s="1"/>
  <c r="G2662" i="6"/>
  <c r="I2662" i="6" s="1"/>
  <c r="E2662" i="6"/>
  <c r="H2661" i="6"/>
  <c r="J2661" i="6" s="1"/>
  <c r="G2661" i="6"/>
  <c r="I2661" i="6" s="1"/>
  <c r="E2661" i="6"/>
  <c r="H2660" i="6"/>
  <c r="J2660" i="6" s="1"/>
  <c r="G2660" i="6"/>
  <c r="I2660" i="6" s="1"/>
  <c r="E2660" i="6"/>
  <c r="H2659" i="6"/>
  <c r="J2659" i="6" s="1"/>
  <c r="G2659" i="6"/>
  <c r="I2659" i="6" s="1"/>
  <c r="E2659" i="6"/>
  <c r="H2658" i="6"/>
  <c r="J2658" i="6" s="1"/>
  <c r="G2658" i="6"/>
  <c r="I2658" i="6" s="1"/>
  <c r="E2658" i="6"/>
  <c r="H2657" i="6"/>
  <c r="J2657" i="6" s="1"/>
  <c r="G2657" i="6"/>
  <c r="I2657" i="6" s="1"/>
  <c r="E2657" i="6"/>
  <c r="H2656" i="6"/>
  <c r="J2656" i="6" s="1"/>
  <c r="G2656" i="6"/>
  <c r="I2656" i="6" s="1"/>
  <c r="E2656" i="6"/>
  <c r="H2655" i="6"/>
  <c r="J2655" i="6" s="1"/>
  <c r="G2655" i="6"/>
  <c r="I2655" i="6" s="1"/>
  <c r="E2655" i="6"/>
  <c r="H2654" i="6"/>
  <c r="J2654" i="6" s="1"/>
  <c r="G2654" i="6"/>
  <c r="I2654" i="6" s="1"/>
  <c r="E2654" i="6"/>
  <c r="H2653" i="6"/>
  <c r="J2653" i="6" s="1"/>
  <c r="G2653" i="6"/>
  <c r="I2653" i="6" s="1"/>
  <c r="E2653" i="6"/>
  <c r="H2652" i="6"/>
  <c r="J2652" i="6" s="1"/>
  <c r="G2652" i="6"/>
  <c r="I2652" i="6" s="1"/>
  <c r="E2652" i="6"/>
  <c r="H2651" i="6"/>
  <c r="J2651" i="6" s="1"/>
  <c r="G2651" i="6"/>
  <c r="I2651" i="6" s="1"/>
  <c r="E2651" i="6"/>
  <c r="F2648" i="6"/>
  <c r="K2689" i="6" s="1"/>
  <c r="G2647" i="6"/>
  <c r="F2647" i="6"/>
  <c r="G2646" i="6"/>
  <c r="F2646" i="6"/>
  <c r="G2645" i="6"/>
  <c r="F2645" i="6"/>
  <c r="C2642" i="6"/>
  <c r="B2642" i="6"/>
  <c r="A2642" i="6"/>
  <c r="A2638" i="6"/>
  <c r="B2638" i="6" s="1"/>
  <c r="H2637" i="6"/>
  <c r="J2637" i="6" s="1"/>
  <c r="G2637" i="6"/>
  <c r="I2637" i="6" s="1"/>
  <c r="E2637" i="6"/>
  <c r="H2636" i="6"/>
  <c r="J2636" i="6" s="1"/>
  <c r="G2636" i="6"/>
  <c r="I2636" i="6" s="1"/>
  <c r="E2636" i="6"/>
  <c r="H2635" i="6"/>
  <c r="J2635" i="6" s="1"/>
  <c r="G2635" i="6"/>
  <c r="I2635" i="6" s="1"/>
  <c r="E2635" i="6"/>
  <c r="H2634" i="6"/>
  <c r="J2634" i="6" s="1"/>
  <c r="G2634" i="6"/>
  <c r="I2634" i="6" s="1"/>
  <c r="E2634" i="6"/>
  <c r="G2633" i="6"/>
  <c r="I2633" i="6" s="1"/>
  <c r="E2633" i="6"/>
  <c r="P2631" i="6"/>
  <c r="R2631" i="6" s="1"/>
  <c r="B2631" i="6"/>
  <c r="A2631" i="6"/>
  <c r="H2630" i="6"/>
  <c r="J2630" i="6" s="1"/>
  <c r="G2630" i="6"/>
  <c r="I2630" i="6" s="1"/>
  <c r="E2630" i="6"/>
  <c r="H2629" i="6"/>
  <c r="J2629" i="6" s="1"/>
  <c r="G2629" i="6"/>
  <c r="I2629" i="6" s="1"/>
  <c r="E2629" i="6"/>
  <c r="H2628" i="6"/>
  <c r="J2628" i="6" s="1"/>
  <c r="G2628" i="6"/>
  <c r="I2628" i="6" s="1"/>
  <c r="E2628" i="6"/>
  <c r="H2627" i="6"/>
  <c r="J2627" i="6" s="1"/>
  <c r="G2627" i="6"/>
  <c r="I2627" i="6" s="1"/>
  <c r="E2627" i="6"/>
  <c r="H2626" i="6"/>
  <c r="J2626" i="6" s="1"/>
  <c r="G2626" i="6"/>
  <c r="K2631" i="6" s="1"/>
  <c r="E2626" i="6"/>
  <c r="A2624" i="6"/>
  <c r="B2624" i="6" s="1"/>
  <c r="H2623" i="6"/>
  <c r="J2623" i="6" s="1"/>
  <c r="G2623" i="6"/>
  <c r="I2623" i="6" s="1"/>
  <c r="E2623" i="6"/>
  <c r="H2622" i="6"/>
  <c r="J2622" i="6" s="1"/>
  <c r="G2622" i="6"/>
  <c r="I2622" i="6" s="1"/>
  <c r="E2622" i="6"/>
  <c r="H2621" i="6"/>
  <c r="J2621" i="6" s="1"/>
  <c r="G2621" i="6"/>
  <c r="I2621" i="6" s="1"/>
  <c r="E2621" i="6"/>
  <c r="H2620" i="6"/>
  <c r="J2620" i="6" s="1"/>
  <c r="G2620" i="6"/>
  <c r="I2620" i="6" s="1"/>
  <c r="E2620" i="6"/>
  <c r="H2619" i="6"/>
  <c r="J2619" i="6" s="1"/>
  <c r="G2619" i="6"/>
  <c r="I2619" i="6" s="1"/>
  <c r="E2619" i="6"/>
  <c r="H2618" i="6"/>
  <c r="J2618" i="6" s="1"/>
  <c r="G2618" i="6"/>
  <c r="I2618" i="6" s="1"/>
  <c r="E2618" i="6"/>
  <c r="H2617" i="6"/>
  <c r="J2617" i="6" s="1"/>
  <c r="G2617" i="6"/>
  <c r="I2617" i="6" s="1"/>
  <c r="E2617" i="6"/>
  <c r="H2616" i="6"/>
  <c r="J2616" i="6" s="1"/>
  <c r="G2616" i="6"/>
  <c r="I2616" i="6" s="1"/>
  <c r="E2616" i="6"/>
  <c r="H2615" i="6"/>
  <c r="J2615" i="6" s="1"/>
  <c r="G2615" i="6"/>
  <c r="I2615" i="6" s="1"/>
  <c r="E2615" i="6"/>
  <c r="H2614" i="6"/>
  <c r="J2614" i="6" s="1"/>
  <c r="G2614" i="6"/>
  <c r="I2614" i="6" s="1"/>
  <c r="E2614" i="6"/>
  <c r="H2613" i="6"/>
  <c r="J2613" i="6" s="1"/>
  <c r="G2613" i="6"/>
  <c r="I2613" i="6" s="1"/>
  <c r="E2613" i="6"/>
  <c r="H2612" i="6"/>
  <c r="J2612" i="6" s="1"/>
  <c r="G2612" i="6"/>
  <c r="I2612" i="6" s="1"/>
  <c r="E2612" i="6"/>
  <c r="H2611" i="6"/>
  <c r="J2611" i="6" s="1"/>
  <c r="G2611" i="6"/>
  <c r="I2611" i="6" s="1"/>
  <c r="E2611" i="6"/>
  <c r="H2610" i="6"/>
  <c r="J2610" i="6" s="1"/>
  <c r="G2610" i="6"/>
  <c r="I2610" i="6" s="1"/>
  <c r="E2610" i="6"/>
  <c r="H2609" i="6"/>
  <c r="J2609" i="6" s="1"/>
  <c r="G2609" i="6"/>
  <c r="I2609" i="6" s="1"/>
  <c r="E2609" i="6"/>
  <c r="H2608" i="6"/>
  <c r="J2608" i="6" s="1"/>
  <c r="G2608" i="6"/>
  <c r="I2608" i="6" s="1"/>
  <c r="E2608" i="6"/>
  <c r="H2607" i="6"/>
  <c r="J2607" i="6" s="1"/>
  <c r="G2607" i="6"/>
  <c r="I2607" i="6" s="1"/>
  <c r="E2607" i="6"/>
  <c r="H2606" i="6"/>
  <c r="J2606" i="6" s="1"/>
  <c r="G2606" i="6"/>
  <c r="I2606" i="6" s="1"/>
  <c r="E2606" i="6"/>
  <c r="H2605" i="6"/>
  <c r="J2605" i="6" s="1"/>
  <c r="G2605" i="6"/>
  <c r="I2605" i="6" s="1"/>
  <c r="E2605" i="6"/>
  <c r="H2604" i="6"/>
  <c r="J2604" i="6" s="1"/>
  <c r="G2604" i="6"/>
  <c r="I2604" i="6" s="1"/>
  <c r="E2604" i="6"/>
  <c r="F2601" i="6"/>
  <c r="K2642" i="6" s="1"/>
  <c r="G2600" i="6"/>
  <c r="F2600" i="6"/>
  <c r="G2599" i="6"/>
  <c r="F2599" i="6"/>
  <c r="G2598" i="6"/>
  <c r="F2598" i="6"/>
  <c r="C2595" i="6"/>
  <c r="A2595" i="6"/>
  <c r="B2595" i="6" s="1"/>
  <c r="B2591" i="6"/>
  <c r="A2591" i="6"/>
  <c r="H2590" i="6"/>
  <c r="J2590" i="6" s="1"/>
  <c r="G2590" i="6"/>
  <c r="I2590" i="6" s="1"/>
  <c r="E2590" i="6"/>
  <c r="H2589" i="6"/>
  <c r="J2589" i="6" s="1"/>
  <c r="G2589" i="6"/>
  <c r="I2589" i="6" s="1"/>
  <c r="E2589" i="6"/>
  <c r="H2588" i="6"/>
  <c r="J2588" i="6" s="1"/>
  <c r="G2588" i="6"/>
  <c r="I2588" i="6" s="1"/>
  <c r="E2588" i="6"/>
  <c r="H2587" i="6"/>
  <c r="J2587" i="6" s="1"/>
  <c r="G2587" i="6"/>
  <c r="I2587" i="6" s="1"/>
  <c r="E2587" i="6"/>
  <c r="G2586" i="6"/>
  <c r="I2586" i="6" s="1"/>
  <c r="E2586" i="6"/>
  <c r="P2584" i="6"/>
  <c r="R2584" i="6" s="1"/>
  <c r="A2584" i="6"/>
  <c r="B2584" i="6" s="1"/>
  <c r="H2583" i="6"/>
  <c r="J2583" i="6" s="1"/>
  <c r="G2583" i="6"/>
  <c r="I2583" i="6" s="1"/>
  <c r="E2583" i="6"/>
  <c r="H2582" i="6"/>
  <c r="J2582" i="6" s="1"/>
  <c r="G2582" i="6"/>
  <c r="I2582" i="6" s="1"/>
  <c r="E2582" i="6"/>
  <c r="H2581" i="6"/>
  <c r="J2581" i="6" s="1"/>
  <c r="G2581" i="6"/>
  <c r="I2581" i="6" s="1"/>
  <c r="E2581" i="6"/>
  <c r="H2580" i="6"/>
  <c r="J2580" i="6" s="1"/>
  <c r="G2580" i="6"/>
  <c r="I2580" i="6" s="1"/>
  <c r="E2580" i="6"/>
  <c r="H2579" i="6"/>
  <c r="J2579" i="6" s="1"/>
  <c r="G2579" i="6"/>
  <c r="K2584" i="6" s="1"/>
  <c r="E2579" i="6"/>
  <c r="A2577" i="6"/>
  <c r="B2577" i="6" s="1"/>
  <c r="H2576" i="6"/>
  <c r="J2576" i="6" s="1"/>
  <c r="G2576" i="6"/>
  <c r="I2576" i="6" s="1"/>
  <c r="E2576" i="6"/>
  <c r="H2575" i="6"/>
  <c r="J2575" i="6" s="1"/>
  <c r="G2575" i="6"/>
  <c r="I2575" i="6" s="1"/>
  <c r="E2575" i="6"/>
  <c r="H2574" i="6"/>
  <c r="J2574" i="6" s="1"/>
  <c r="G2574" i="6"/>
  <c r="I2574" i="6" s="1"/>
  <c r="E2574" i="6"/>
  <c r="H2573" i="6"/>
  <c r="J2573" i="6" s="1"/>
  <c r="G2573" i="6"/>
  <c r="I2573" i="6" s="1"/>
  <c r="E2573" i="6"/>
  <c r="H2572" i="6"/>
  <c r="J2572" i="6" s="1"/>
  <c r="G2572" i="6"/>
  <c r="I2572" i="6" s="1"/>
  <c r="E2572" i="6"/>
  <c r="H2571" i="6"/>
  <c r="J2571" i="6" s="1"/>
  <c r="G2571" i="6"/>
  <c r="I2571" i="6" s="1"/>
  <c r="E2571" i="6"/>
  <c r="H2570" i="6"/>
  <c r="J2570" i="6" s="1"/>
  <c r="G2570" i="6"/>
  <c r="I2570" i="6" s="1"/>
  <c r="E2570" i="6"/>
  <c r="H2569" i="6"/>
  <c r="J2569" i="6" s="1"/>
  <c r="G2569" i="6"/>
  <c r="I2569" i="6" s="1"/>
  <c r="E2569" i="6"/>
  <c r="H2568" i="6"/>
  <c r="J2568" i="6" s="1"/>
  <c r="G2568" i="6"/>
  <c r="I2568" i="6" s="1"/>
  <c r="E2568" i="6"/>
  <c r="H2567" i="6"/>
  <c r="J2567" i="6" s="1"/>
  <c r="G2567" i="6"/>
  <c r="I2567" i="6" s="1"/>
  <c r="E2567" i="6"/>
  <c r="H2566" i="6"/>
  <c r="J2566" i="6" s="1"/>
  <c r="G2566" i="6"/>
  <c r="I2566" i="6" s="1"/>
  <c r="E2566" i="6"/>
  <c r="H2565" i="6"/>
  <c r="J2565" i="6" s="1"/>
  <c r="G2565" i="6"/>
  <c r="I2565" i="6" s="1"/>
  <c r="E2565" i="6"/>
  <c r="H2564" i="6"/>
  <c r="J2564" i="6" s="1"/>
  <c r="G2564" i="6"/>
  <c r="I2564" i="6" s="1"/>
  <c r="E2564" i="6"/>
  <c r="H2563" i="6"/>
  <c r="J2563" i="6" s="1"/>
  <c r="G2563" i="6"/>
  <c r="I2563" i="6" s="1"/>
  <c r="E2563" i="6"/>
  <c r="H2562" i="6"/>
  <c r="J2562" i="6" s="1"/>
  <c r="G2562" i="6"/>
  <c r="I2562" i="6" s="1"/>
  <c r="E2562" i="6"/>
  <c r="H2561" i="6"/>
  <c r="J2561" i="6" s="1"/>
  <c r="G2561" i="6"/>
  <c r="I2561" i="6" s="1"/>
  <c r="E2561" i="6"/>
  <c r="H2560" i="6"/>
  <c r="J2560" i="6" s="1"/>
  <c r="G2560" i="6"/>
  <c r="I2560" i="6" s="1"/>
  <c r="E2560" i="6"/>
  <c r="H2559" i="6"/>
  <c r="J2559" i="6" s="1"/>
  <c r="G2559" i="6"/>
  <c r="I2559" i="6" s="1"/>
  <c r="E2559" i="6"/>
  <c r="H2558" i="6"/>
  <c r="J2558" i="6" s="1"/>
  <c r="G2558" i="6"/>
  <c r="I2558" i="6" s="1"/>
  <c r="E2558" i="6"/>
  <c r="H2557" i="6"/>
  <c r="J2557" i="6" s="1"/>
  <c r="G2557" i="6"/>
  <c r="I2557" i="6" s="1"/>
  <c r="E2557" i="6"/>
  <c r="F2554" i="6"/>
  <c r="K2595" i="6" s="1"/>
  <c r="G2553" i="6"/>
  <c r="F2553" i="6"/>
  <c r="G2552" i="6"/>
  <c r="F2552" i="6"/>
  <c r="G2551" i="6"/>
  <c r="F2551" i="6"/>
  <c r="C2548" i="6"/>
  <c r="A2548" i="6"/>
  <c r="B2548" i="6" s="1"/>
  <c r="B2544" i="6"/>
  <c r="A2544" i="6"/>
  <c r="H2543" i="6"/>
  <c r="J2543" i="6" s="1"/>
  <c r="G2543" i="6"/>
  <c r="I2543" i="6" s="1"/>
  <c r="E2543" i="6"/>
  <c r="H2542" i="6"/>
  <c r="J2542" i="6" s="1"/>
  <c r="G2542" i="6"/>
  <c r="I2542" i="6" s="1"/>
  <c r="E2542" i="6"/>
  <c r="H2541" i="6"/>
  <c r="J2541" i="6" s="1"/>
  <c r="G2541" i="6"/>
  <c r="I2541" i="6" s="1"/>
  <c r="E2541" i="6"/>
  <c r="H2540" i="6"/>
  <c r="J2540" i="6" s="1"/>
  <c r="G2540" i="6"/>
  <c r="I2540" i="6" s="1"/>
  <c r="E2540" i="6"/>
  <c r="G2539" i="6"/>
  <c r="I2539" i="6" s="1"/>
  <c r="E2539" i="6"/>
  <c r="P2537" i="6"/>
  <c r="R2537" i="6" s="1"/>
  <c r="A2537" i="6"/>
  <c r="B2537" i="6" s="1"/>
  <c r="H2536" i="6"/>
  <c r="J2536" i="6" s="1"/>
  <c r="G2536" i="6"/>
  <c r="I2536" i="6" s="1"/>
  <c r="E2536" i="6"/>
  <c r="H2535" i="6"/>
  <c r="J2535" i="6" s="1"/>
  <c r="G2535" i="6"/>
  <c r="I2535" i="6" s="1"/>
  <c r="E2535" i="6"/>
  <c r="H2534" i="6"/>
  <c r="J2534" i="6" s="1"/>
  <c r="G2534" i="6"/>
  <c r="I2534" i="6" s="1"/>
  <c r="E2534" i="6"/>
  <c r="H2533" i="6"/>
  <c r="J2533" i="6" s="1"/>
  <c r="G2533" i="6"/>
  <c r="I2533" i="6" s="1"/>
  <c r="E2533" i="6"/>
  <c r="H2532" i="6"/>
  <c r="J2532" i="6" s="1"/>
  <c r="G2532" i="6"/>
  <c r="K2537" i="6" s="1"/>
  <c r="E2532" i="6"/>
  <c r="A2530" i="6"/>
  <c r="B2530" i="6" s="1"/>
  <c r="H2529" i="6"/>
  <c r="J2529" i="6" s="1"/>
  <c r="G2529" i="6"/>
  <c r="I2529" i="6" s="1"/>
  <c r="E2529" i="6"/>
  <c r="H2528" i="6"/>
  <c r="J2528" i="6" s="1"/>
  <c r="G2528" i="6"/>
  <c r="I2528" i="6" s="1"/>
  <c r="E2528" i="6"/>
  <c r="H2527" i="6"/>
  <c r="J2527" i="6" s="1"/>
  <c r="G2527" i="6"/>
  <c r="I2527" i="6" s="1"/>
  <c r="E2527" i="6"/>
  <c r="H2526" i="6"/>
  <c r="J2526" i="6" s="1"/>
  <c r="G2526" i="6"/>
  <c r="I2526" i="6" s="1"/>
  <c r="E2526" i="6"/>
  <c r="H2525" i="6"/>
  <c r="J2525" i="6" s="1"/>
  <c r="G2525" i="6"/>
  <c r="I2525" i="6" s="1"/>
  <c r="E2525" i="6"/>
  <c r="H2524" i="6"/>
  <c r="J2524" i="6" s="1"/>
  <c r="G2524" i="6"/>
  <c r="I2524" i="6" s="1"/>
  <c r="E2524" i="6"/>
  <c r="H2523" i="6"/>
  <c r="J2523" i="6" s="1"/>
  <c r="G2523" i="6"/>
  <c r="I2523" i="6" s="1"/>
  <c r="E2523" i="6"/>
  <c r="H2522" i="6"/>
  <c r="J2522" i="6" s="1"/>
  <c r="G2522" i="6"/>
  <c r="I2522" i="6" s="1"/>
  <c r="E2522" i="6"/>
  <c r="H2521" i="6"/>
  <c r="J2521" i="6" s="1"/>
  <c r="G2521" i="6"/>
  <c r="I2521" i="6" s="1"/>
  <c r="E2521" i="6"/>
  <c r="H2520" i="6"/>
  <c r="J2520" i="6" s="1"/>
  <c r="G2520" i="6"/>
  <c r="I2520" i="6" s="1"/>
  <c r="E2520" i="6"/>
  <c r="H2519" i="6"/>
  <c r="J2519" i="6" s="1"/>
  <c r="G2519" i="6"/>
  <c r="I2519" i="6" s="1"/>
  <c r="E2519" i="6"/>
  <c r="H2518" i="6"/>
  <c r="J2518" i="6" s="1"/>
  <c r="G2518" i="6"/>
  <c r="I2518" i="6" s="1"/>
  <c r="E2518" i="6"/>
  <c r="H2517" i="6"/>
  <c r="J2517" i="6" s="1"/>
  <c r="G2517" i="6"/>
  <c r="I2517" i="6" s="1"/>
  <c r="E2517" i="6"/>
  <c r="H2516" i="6"/>
  <c r="J2516" i="6" s="1"/>
  <c r="G2516" i="6"/>
  <c r="I2516" i="6" s="1"/>
  <c r="E2516" i="6"/>
  <c r="H2515" i="6"/>
  <c r="J2515" i="6" s="1"/>
  <c r="G2515" i="6"/>
  <c r="I2515" i="6" s="1"/>
  <c r="E2515" i="6"/>
  <c r="H2514" i="6"/>
  <c r="J2514" i="6" s="1"/>
  <c r="G2514" i="6"/>
  <c r="I2514" i="6" s="1"/>
  <c r="E2514" i="6"/>
  <c r="H2513" i="6"/>
  <c r="J2513" i="6" s="1"/>
  <c r="G2513" i="6"/>
  <c r="I2513" i="6" s="1"/>
  <c r="E2513" i="6"/>
  <c r="H2512" i="6"/>
  <c r="J2512" i="6" s="1"/>
  <c r="G2512" i="6"/>
  <c r="I2512" i="6" s="1"/>
  <c r="E2512" i="6"/>
  <c r="H2511" i="6"/>
  <c r="J2511" i="6" s="1"/>
  <c r="G2511" i="6"/>
  <c r="I2511" i="6" s="1"/>
  <c r="E2511" i="6"/>
  <c r="G2510" i="6"/>
  <c r="I2510" i="6" s="1"/>
  <c r="E2510" i="6"/>
  <c r="F2507" i="6"/>
  <c r="K2548" i="6" s="1"/>
  <c r="G2506" i="6"/>
  <c r="F2506" i="6"/>
  <c r="G2505" i="6"/>
  <c r="F2505" i="6"/>
  <c r="G2504" i="6"/>
  <c r="F2504" i="6"/>
  <c r="C2501" i="6"/>
  <c r="A2501" i="6"/>
  <c r="B2501" i="6" s="1"/>
  <c r="B2497" i="6"/>
  <c r="A2497" i="6"/>
  <c r="H2496" i="6"/>
  <c r="J2496" i="6" s="1"/>
  <c r="G2496" i="6"/>
  <c r="I2496" i="6" s="1"/>
  <c r="E2496" i="6"/>
  <c r="H2495" i="6"/>
  <c r="J2495" i="6" s="1"/>
  <c r="G2495" i="6"/>
  <c r="I2495" i="6" s="1"/>
  <c r="E2495" i="6"/>
  <c r="H2494" i="6"/>
  <c r="J2494" i="6" s="1"/>
  <c r="G2494" i="6"/>
  <c r="I2494" i="6" s="1"/>
  <c r="E2494" i="6"/>
  <c r="H2493" i="6"/>
  <c r="J2493" i="6" s="1"/>
  <c r="G2493" i="6"/>
  <c r="I2493" i="6" s="1"/>
  <c r="E2493" i="6"/>
  <c r="G2492" i="6"/>
  <c r="I2492" i="6" s="1"/>
  <c r="E2492" i="6"/>
  <c r="P2490" i="6"/>
  <c r="R2490" i="6" s="1"/>
  <c r="A2490" i="6"/>
  <c r="B2490" i="6" s="1"/>
  <c r="H2489" i="6"/>
  <c r="J2489" i="6" s="1"/>
  <c r="G2489" i="6"/>
  <c r="I2489" i="6" s="1"/>
  <c r="E2489" i="6"/>
  <c r="H2488" i="6"/>
  <c r="J2488" i="6" s="1"/>
  <c r="G2488" i="6"/>
  <c r="I2488" i="6" s="1"/>
  <c r="E2488" i="6"/>
  <c r="H2487" i="6"/>
  <c r="J2487" i="6" s="1"/>
  <c r="G2487" i="6"/>
  <c r="I2487" i="6" s="1"/>
  <c r="E2487" i="6"/>
  <c r="H2486" i="6"/>
  <c r="J2486" i="6" s="1"/>
  <c r="G2486" i="6"/>
  <c r="I2486" i="6" s="1"/>
  <c r="E2486" i="6"/>
  <c r="H2485" i="6"/>
  <c r="J2485" i="6" s="1"/>
  <c r="G2485" i="6"/>
  <c r="K2490" i="6" s="1"/>
  <c r="E2485" i="6"/>
  <c r="A2483" i="6"/>
  <c r="B2483" i="6" s="1"/>
  <c r="H2482" i="6"/>
  <c r="J2482" i="6" s="1"/>
  <c r="G2482" i="6"/>
  <c r="I2482" i="6" s="1"/>
  <c r="E2482" i="6"/>
  <c r="H2481" i="6"/>
  <c r="J2481" i="6" s="1"/>
  <c r="G2481" i="6"/>
  <c r="I2481" i="6" s="1"/>
  <c r="E2481" i="6"/>
  <c r="H2480" i="6"/>
  <c r="J2480" i="6" s="1"/>
  <c r="G2480" i="6"/>
  <c r="I2480" i="6" s="1"/>
  <c r="E2480" i="6"/>
  <c r="H2479" i="6"/>
  <c r="J2479" i="6" s="1"/>
  <c r="G2479" i="6"/>
  <c r="I2479" i="6" s="1"/>
  <c r="E2479" i="6"/>
  <c r="H2478" i="6"/>
  <c r="J2478" i="6" s="1"/>
  <c r="G2478" i="6"/>
  <c r="I2478" i="6" s="1"/>
  <c r="E2478" i="6"/>
  <c r="H2477" i="6"/>
  <c r="J2477" i="6" s="1"/>
  <c r="G2477" i="6"/>
  <c r="I2477" i="6" s="1"/>
  <c r="E2477" i="6"/>
  <c r="H2476" i="6"/>
  <c r="J2476" i="6" s="1"/>
  <c r="G2476" i="6"/>
  <c r="I2476" i="6" s="1"/>
  <c r="E2476" i="6"/>
  <c r="H2475" i="6"/>
  <c r="J2475" i="6" s="1"/>
  <c r="G2475" i="6"/>
  <c r="I2475" i="6" s="1"/>
  <c r="E2475" i="6"/>
  <c r="H2474" i="6"/>
  <c r="J2474" i="6" s="1"/>
  <c r="G2474" i="6"/>
  <c r="I2474" i="6" s="1"/>
  <c r="E2474" i="6"/>
  <c r="H2473" i="6"/>
  <c r="J2473" i="6" s="1"/>
  <c r="G2473" i="6"/>
  <c r="I2473" i="6" s="1"/>
  <c r="E2473" i="6"/>
  <c r="H2472" i="6"/>
  <c r="J2472" i="6" s="1"/>
  <c r="G2472" i="6"/>
  <c r="I2472" i="6" s="1"/>
  <c r="E2472" i="6"/>
  <c r="H2471" i="6"/>
  <c r="J2471" i="6" s="1"/>
  <c r="G2471" i="6"/>
  <c r="I2471" i="6" s="1"/>
  <c r="E2471" i="6"/>
  <c r="H2470" i="6"/>
  <c r="J2470" i="6" s="1"/>
  <c r="G2470" i="6"/>
  <c r="I2470" i="6" s="1"/>
  <c r="E2470" i="6"/>
  <c r="H2469" i="6"/>
  <c r="J2469" i="6" s="1"/>
  <c r="G2469" i="6"/>
  <c r="I2469" i="6" s="1"/>
  <c r="E2469" i="6"/>
  <c r="H2468" i="6"/>
  <c r="J2468" i="6" s="1"/>
  <c r="G2468" i="6"/>
  <c r="I2468" i="6" s="1"/>
  <c r="E2468" i="6"/>
  <c r="H2467" i="6"/>
  <c r="J2467" i="6" s="1"/>
  <c r="G2467" i="6"/>
  <c r="I2467" i="6" s="1"/>
  <c r="E2467" i="6"/>
  <c r="H2466" i="6"/>
  <c r="J2466" i="6" s="1"/>
  <c r="G2466" i="6"/>
  <c r="I2466" i="6" s="1"/>
  <c r="E2466" i="6"/>
  <c r="H2465" i="6"/>
  <c r="J2465" i="6" s="1"/>
  <c r="G2465" i="6"/>
  <c r="I2465" i="6" s="1"/>
  <c r="E2465" i="6"/>
  <c r="H2464" i="6"/>
  <c r="J2464" i="6" s="1"/>
  <c r="G2464" i="6"/>
  <c r="I2464" i="6" s="1"/>
  <c r="E2464" i="6"/>
  <c r="G2463" i="6"/>
  <c r="I2463" i="6" s="1"/>
  <c r="E2463" i="6"/>
  <c r="F2460" i="6"/>
  <c r="K2501" i="6" s="1"/>
  <c r="G2459" i="6"/>
  <c r="F2459" i="6"/>
  <c r="G2458" i="6"/>
  <c r="F2458" i="6"/>
  <c r="G2457" i="6"/>
  <c r="F2457" i="6"/>
  <c r="C2454" i="6"/>
  <c r="A2454" i="6"/>
  <c r="B2454" i="6" s="1"/>
  <c r="B2450" i="6"/>
  <c r="A2450" i="6"/>
  <c r="H2449" i="6"/>
  <c r="J2449" i="6" s="1"/>
  <c r="G2449" i="6"/>
  <c r="I2449" i="6" s="1"/>
  <c r="E2449" i="6"/>
  <c r="H2448" i="6"/>
  <c r="J2448" i="6" s="1"/>
  <c r="G2448" i="6"/>
  <c r="I2448" i="6" s="1"/>
  <c r="E2448" i="6"/>
  <c r="H2447" i="6"/>
  <c r="J2447" i="6" s="1"/>
  <c r="G2447" i="6"/>
  <c r="I2447" i="6" s="1"/>
  <c r="E2447" i="6"/>
  <c r="H2446" i="6"/>
  <c r="J2446" i="6" s="1"/>
  <c r="G2446" i="6"/>
  <c r="I2446" i="6" s="1"/>
  <c r="E2446" i="6"/>
  <c r="G2445" i="6"/>
  <c r="I2445" i="6" s="1"/>
  <c r="E2445" i="6"/>
  <c r="P2443" i="6"/>
  <c r="R2443" i="6" s="1"/>
  <c r="A2443" i="6"/>
  <c r="B2443" i="6" s="1"/>
  <c r="H2442" i="6"/>
  <c r="J2442" i="6" s="1"/>
  <c r="G2442" i="6"/>
  <c r="I2442" i="6" s="1"/>
  <c r="E2442" i="6"/>
  <c r="H2441" i="6"/>
  <c r="J2441" i="6" s="1"/>
  <c r="G2441" i="6"/>
  <c r="I2441" i="6" s="1"/>
  <c r="E2441" i="6"/>
  <c r="H2440" i="6"/>
  <c r="J2440" i="6" s="1"/>
  <c r="G2440" i="6"/>
  <c r="I2440" i="6" s="1"/>
  <c r="E2440" i="6"/>
  <c r="H2439" i="6"/>
  <c r="J2439" i="6" s="1"/>
  <c r="G2439" i="6"/>
  <c r="I2439" i="6" s="1"/>
  <c r="E2439" i="6"/>
  <c r="H2438" i="6"/>
  <c r="J2438" i="6" s="1"/>
  <c r="G2438" i="6"/>
  <c r="K2443" i="6" s="1"/>
  <c r="E2438" i="6"/>
  <c r="A2436" i="6"/>
  <c r="B2436" i="6" s="1"/>
  <c r="H2435" i="6"/>
  <c r="J2435" i="6" s="1"/>
  <c r="G2435" i="6"/>
  <c r="I2435" i="6" s="1"/>
  <c r="E2435" i="6"/>
  <c r="H2434" i="6"/>
  <c r="J2434" i="6" s="1"/>
  <c r="G2434" i="6"/>
  <c r="I2434" i="6" s="1"/>
  <c r="E2434" i="6"/>
  <c r="H2433" i="6"/>
  <c r="J2433" i="6" s="1"/>
  <c r="G2433" i="6"/>
  <c r="I2433" i="6" s="1"/>
  <c r="E2433" i="6"/>
  <c r="H2432" i="6"/>
  <c r="J2432" i="6" s="1"/>
  <c r="G2432" i="6"/>
  <c r="I2432" i="6" s="1"/>
  <c r="E2432" i="6"/>
  <c r="H2431" i="6"/>
  <c r="J2431" i="6" s="1"/>
  <c r="G2431" i="6"/>
  <c r="I2431" i="6" s="1"/>
  <c r="E2431" i="6"/>
  <c r="H2430" i="6"/>
  <c r="J2430" i="6" s="1"/>
  <c r="G2430" i="6"/>
  <c r="I2430" i="6" s="1"/>
  <c r="E2430" i="6"/>
  <c r="H2429" i="6"/>
  <c r="J2429" i="6" s="1"/>
  <c r="G2429" i="6"/>
  <c r="I2429" i="6" s="1"/>
  <c r="E2429" i="6"/>
  <c r="H2428" i="6"/>
  <c r="J2428" i="6" s="1"/>
  <c r="G2428" i="6"/>
  <c r="I2428" i="6" s="1"/>
  <c r="E2428" i="6"/>
  <c r="H2427" i="6"/>
  <c r="J2427" i="6" s="1"/>
  <c r="G2427" i="6"/>
  <c r="I2427" i="6" s="1"/>
  <c r="E2427" i="6"/>
  <c r="H2426" i="6"/>
  <c r="J2426" i="6" s="1"/>
  <c r="G2426" i="6"/>
  <c r="I2426" i="6" s="1"/>
  <c r="E2426" i="6"/>
  <c r="H2425" i="6"/>
  <c r="J2425" i="6" s="1"/>
  <c r="G2425" i="6"/>
  <c r="I2425" i="6" s="1"/>
  <c r="E2425" i="6"/>
  <c r="H2424" i="6"/>
  <c r="J2424" i="6" s="1"/>
  <c r="G2424" i="6"/>
  <c r="I2424" i="6" s="1"/>
  <c r="E2424" i="6"/>
  <c r="H2423" i="6"/>
  <c r="J2423" i="6" s="1"/>
  <c r="G2423" i="6"/>
  <c r="I2423" i="6" s="1"/>
  <c r="E2423" i="6"/>
  <c r="H2422" i="6"/>
  <c r="J2422" i="6" s="1"/>
  <c r="G2422" i="6"/>
  <c r="I2422" i="6" s="1"/>
  <c r="E2422" i="6"/>
  <c r="H2421" i="6"/>
  <c r="J2421" i="6" s="1"/>
  <c r="G2421" i="6"/>
  <c r="I2421" i="6" s="1"/>
  <c r="E2421" i="6"/>
  <c r="H2420" i="6"/>
  <c r="J2420" i="6" s="1"/>
  <c r="G2420" i="6"/>
  <c r="I2420" i="6" s="1"/>
  <c r="E2420" i="6"/>
  <c r="H2419" i="6"/>
  <c r="J2419" i="6" s="1"/>
  <c r="G2419" i="6"/>
  <c r="I2419" i="6" s="1"/>
  <c r="E2419" i="6"/>
  <c r="H2418" i="6"/>
  <c r="J2418" i="6" s="1"/>
  <c r="G2418" i="6"/>
  <c r="I2418" i="6" s="1"/>
  <c r="E2418" i="6"/>
  <c r="H2417" i="6"/>
  <c r="J2417" i="6" s="1"/>
  <c r="G2417" i="6"/>
  <c r="I2417" i="6" s="1"/>
  <c r="E2417" i="6"/>
  <c r="H2416" i="6"/>
  <c r="J2416" i="6" s="1"/>
  <c r="G2416" i="6"/>
  <c r="I2416" i="6" s="1"/>
  <c r="E2416" i="6"/>
  <c r="F2413" i="6"/>
  <c r="K2454" i="6" s="1"/>
  <c r="G2412" i="6"/>
  <c r="F2412" i="6"/>
  <c r="G2411" i="6"/>
  <c r="F2411" i="6"/>
  <c r="G2410" i="6"/>
  <c r="F2410" i="6"/>
  <c r="C2407" i="6"/>
  <c r="A2407" i="6"/>
  <c r="B2407" i="6" s="1"/>
  <c r="B2403" i="6"/>
  <c r="A2403" i="6"/>
  <c r="H2402" i="6"/>
  <c r="J2402" i="6" s="1"/>
  <c r="G2402" i="6"/>
  <c r="I2402" i="6" s="1"/>
  <c r="E2402" i="6"/>
  <c r="H2401" i="6"/>
  <c r="J2401" i="6" s="1"/>
  <c r="G2401" i="6"/>
  <c r="I2401" i="6" s="1"/>
  <c r="E2401" i="6"/>
  <c r="H2400" i="6"/>
  <c r="J2400" i="6" s="1"/>
  <c r="G2400" i="6"/>
  <c r="I2400" i="6" s="1"/>
  <c r="E2400" i="6"/>
  <c r="H2399" i="6"/>
  <c r="J2399" i="6" s="1"/>
  <c r="G2399" i="6"/>
  <c r="I2399" i="6" s="1"/>
  <c r="E2399" i="6"/>
  <c r="G2398" i="6"/>
  <c r="I2398" i="6" s="1"/>
  <c r="E2398" i="6"/>
  <c r="P2396" i="6"/>
  <c r="B2396" i="6"/>
  <c r="A2396" i="6"/>
  <c r="H2395" i="6"/>
  <c r="J2395" i="6" s="1"/>
  <c r="G2395" i="6"/>
  <c r="I2395" i="6" s="1"/>
  <c r="E2395" i="6"/>
  <c r="H2394" i="6"/>
  <c r="J2394" i="6" s="1"/>
  <c r="G2394" i="6"/>
  <c r="I2394" i="6" s="1"/>
  <c r="E2394" i="6"/>
  <c r="H2393" i="6"/>
  <c r="J2393" i="6" s="1"/>
  <c r="G2393" i="6"/>
  <c r="I2393" i="6" s="1"/>
  <c r="E2393" i="6"/>
  <c r="H2392" i="6"/>
  <c r="J2392" i="6" s="1"/>
  <c r="G2392" i="6"/>
  <c r="I2392" i="6" s="1"/>
  <c r="E2392" i="6"/>
  <c r="H2391" i="6"/>
  <c r="J2391" i="6" s="1"/>
  <c r="G2391" i="6"/>
  <c r="K2396" i="6" s="1"/>
  <c r="E2391" i="6"/>
  <c r="B2389" i="6"/>
  <c r="J2388" i="6"/>
  <c r="G2388" i="6"/>
  <c r="I2388" i="6" s="1"/>
  <c r="E2388" i="6"/>
  <c r="H2387" i="6"/>
  <c r="J2387" i="6" s="1"/>
  <c r="G2387" i="6"/>
  <c r="I2387" i="6" s="1"/>
  <c r="E2387" i="6"/>
  <c r="H2386" i="6"/>
  <c r="J2386" i="6" s="1"/>
  <c r="G2386" i="6"/>
  <c r="I2386" i="6" s="1"/>
  <c r="E2386" i="6"/>
  <c r="H2385" i="6"/>
  <c r="J2385" i="6" s="1"/>
  <c r="G2385" i="6"/>
  <c r="I2385" i="6" s="1"/>
  <c r="E2385" i="6"/>
  <c r="H2384" i="6"/>
  <c r="J2384" i="6" s="1"/>
  <c r="G2384" i="6"/>
  <c r="I2384" i="6" s="1"/>
  <c r="E2384" i="6"/>
  <c r="H2383" i="6"/>
  <c r="J2383" i="6" s="1"/>
  <c r="G2383" i="6"/>
  <c r="I2383" i="6" s="1"/>
  <c r="E2383" i="6"/>
  <c r="H2382" i="6"/>
  <c r="J2382" i="6" s="1"/>
  <c r="G2382" i="6"/>
  <c r="I2382" i="6" s="1"/>
  <c r="E2382" i="6"/>
  <c r="H2381" i="6"/>
  <c r="J2381" i="6" s="1"/>
  <c r="G2381" i="6"/>
  <c r="I2381" i="6" s="1"/>
  <c r="E2381" i="6"/>
  <c r="H2380" i="6"/>
  <c r="J2380" i="6" s="1"/>
  <c r="G2380" i="6"/>
  <c r="I2380" i="6" s="1"/>
  <c r="E2380" i="6"/>
  <c r="H2379" i="6"/>
  <c r="J2379" i="6" s="1"/>
  <c r="G2379" i="6"/>
  <c r="I2379" i="6" s="1"/>
  <c r="E2379" i="6"/>
  <c r="H2378" i="6"/>
  <c r="J2378" i="6" s="1"/>
  <c r="G2378" i="6"/>
  <c r="I2378" i="6" s="1"/>
  <c r="E2378" i="6"/>
  <c r="H2377" i="6"/>
  <c r="J2377" i="6" s="1"/>
  <c r="G2377" i="6"/>
  <c r="I2377" i="6" s="1"/>
  <c r="E2377" i="6"/>
  <c r="H2376" i="6"/>
  <c r="J2376" i="6" s="1"/>
  <c r="G2376" i="6"/>
  <c r="I2376" i="6" s="1"/>
  <c r="E2376" i="6"/>
  <c r="H2375" i="6"/>
  <c r="J2375" i="6" s="1"/>
  <c r="G2375" i="6"/>
  <c r="I2375" i="6" s="1"/>
  <c r="E2375" i="6"/>
  <c r="H2374" i="6"/>
  <c r="J2374" i="6" s="1"/>
  <c r="G2374" i="6"/>
  <c r="I2374" i="6" s="1"/>
  <c r="E2374" i="6"/>
  <c r="H2373" i="6"/>
  <c r="J2373" i="6" s="1"/>
  <c r="G2373" i="6"/>
  <c r="I2373" i="6" s="1"/>
  <c r="E2373" i="6"/>
  <c r="H2372" i="6"/>
  <c r="J2372" i="6" s="1"/>
  <c r="G2372" i="6"/>
  <c r="I2372" i="6" s="1"/>
  <c r="E2372" i="6"/>
  <c r="H2371" i="6"/>
  <c r="J2371" i="6" s="1"/>
  <c r="G2371" i="6"/>
  <c r="I2371" i="6" s="1"/>
  <c r="E2371" i="6"/>
  <c r="H2370" i="6"/>
  <c r="J2370" i="6" s="1"/>
  <c r="G2370" i="6"/>
  <c r="I2370" i="6" s="1"/>
  <c r="E2370" i="6"/>
  <c r="H2369" i="6"/>
  <c r="J2369" i="6" s="1"/>
  <c r="G2369" i="6"/>
  <c r="I2369" i="6" s="1"/>
  <c r="E2369" i="6"/>
  <c r="F2366" i="6"/>
  <c r="K2407" i="6" s="1"/>
  <c r="G2365" i="6"/>
  <c r="F2365" i="6"/>
  <c r="G2364" i="6"/>
  <c r="F2364" i="6"/>
  <c r="G2363" i="6"/>
  <c r="F2363" i="6"/>
  <c r="C2360" i="6"/>
  <c r="A2360" i="6"/>
  <c r="B2360" i="6" s="1"/>
  <c r="A2356" i="6"/>
  <c r="B2356" i="6" s="1"/>
  <c r="H2355" i="6"/>
  <c r="J2355" i="6" s="1"/>
  <c r="G2355" i="6"/>
  <c r="I2355" i="6" s="1"/>
  <c r="E2355" i="6"/>
  <c r="H2354" i="6"/>
  <c r="J2354" i="6" s="1"/>
  <c r="G2354" i="6"/>
  <c r="I2354" i="6" s="1"/>
  <c r="E2354" i="6"/>
  <c r="H2353" i="6"/>
  <c r="J2353" i="6" s="1"/>
  <c r="G2353" i="6"/>
  <c r="I2353" i="6" s="1"/>
  <c r="E2353" i="6"/>
  <c r="H2352" i="6"/>
  <c r="J2352" i="6" s="1"/>
  <c r="G2352" i="6"/>
  <c r="I2352" i="6" s="1"/>
  <c r="E2352" i="6"/>
  <c r="G2351" i="6"/>
  <c r="I2351" i="6" s="1"/>
  <c r="E2351" i="6"/>
  <c r="P2349" i="6"/>
  <c r="B2349" i="6"/>
  <c r="A2349" i="6"/>
  <c r="H2348" i="6"/>
  <c r="J2348" i="6" s="1"/>
  <c r="G2348" i="6"/>
  <c r="I2348" i="6" s="1"/>
  <c r="E2348" i="6"/>
  <c r="H2347" i="6"/>
  <c r="J2347" i="6" s="1"/>
  <c r="G2347" i="6"/>
  <c r="I2347" i="6" s="1"/>
  <c r="E2347" i="6"/>
  <c r="H2346" i="6"/>
  <c r="J2346" i="6" s="1"/>
  <c r="G2346" i="6"/>
  <c r="I2346" i="6" s="1"/>
  <c r="E2346" i="6"/>
  <c r="H2345" i="6"/>
  <c r="J2345" i="6" s="1"/>
  <c r="G2345" i="6"/>
  <c r="I2345" i="6" s="1"/>
  <c r="E2345" i="6"/>
  <c r="H2344" i="6"/>
  <c r="J2344" i="6" s="1"/>
  <c r="G2344" i="6"/>
  <c r="K2349" i="6" s="1"/>
  <c r="E2344" i="6"/>
  <c r="A2342" i="6"/>
  <c r="B2342" i="6" s="1"/>
  <c r="H2341" i="6"/>
  <c r="J2341" i="6" s="1"/>
  <c r="G2341" i="6"/>
  <c r="I2341" i="6" s="1"/>
  <c r="E2341" i="6"/>
  <c r="H2340" i="6"/>
  <c r="J2340" i="6" s="1"/>
  <c r="G2340" i="6"/>
  <c r="I2340" i="6" s="1"/>
  <c r="E2340" i="6"/>
  <c r="H2339" i="6"/>
  <c r="J2339" i="6" s="1"/>
  <c r="G2339" i="6"/>
  <c r="I2339" i="6" s="1"/>
  <c r="E2339" i="6"/>
  <c r="H2338" i="6"/>
  <c r="J2338" i="6" s="1"/>
  <c r="G2338" i="6"/>
  <c r="I2338" i="6" s="1"/>
  <c r="E2338" i="6"/>
  <c r="H2337" i="6"/>
  <c r="J2337" i="6" s="1"/>
  <c r="G2337" i="6"/>
  <c r="I2337" i="6" s="1"/>
  <c r="E2337" i="6"/>
  <c r="H2336" i="6"/>
  <c r="J2336" i="6" s="1"/>
  <c r="G2336" i="6"/>
  <c r="I2336" i="6" s="1"/>
  <c r="E2336" i="6"/>
  <c r="H2335" i="6"/>
  <c r="J2335" i="6" s="1"/>
  <c r="G2335" i="6"/>
  <c r="I2335" i="6" s="1"/>
  <c r="E2335" i="6"/>
  <c r="H2334" i="6"/>
  <c r="J2334" i="6" s="1"/>
  <c r="G2334" i="6"/>
  <c r="I2334" i="6" s="1"/>
  <c r="E2334" i="6"/>
  <c r="H2333" i="6"/>
  <c r="J2333" i="6" s="1"/>
  <c r="G2333" i="6"/>
  <c r="I2333" i="6" s="1"/>
  <c r="E2333" i="6"/>
  <c r="H2332" i="6"/>
  <c r="J2332" i="6" s="1"/>
  <c r="G2332" i="6"/>
  <c r="I2332" i="6" s="1"/>
  <c r="E2332" i="6"/>
  <c r="H2331" i="6"/>
  <c r="J2331" i="6" s="1"/>
  <c r="G2331" i="6"/>
  <c r="I2331" i="6" s="1"/>
  <c r="E2331" i="6"/>
  <c r="H2330" i="6"/>
  <c r="J2330" i="6" s="1"/>
  <c r="G2330" i="6"/>
  <c r="I2330" i="6" s="1"/>
  <c r="E2330" i="6"/>
  <c r="H2329" i="6"/>
  <c r="J2329" i="6" s="1"/>
  <c r="G2329" i="6"/>
  <c r="I2329" i="6" s="1"/>
  <c r="E2329" i="6"/>
  <c r="H2328" i="6"/>
  <c r="J2328" i="6" s="1"/>
  <c r="G2328" i="6"/>
  <c r="I2328" i="6" s="1"/>
  <c r="E2328" i="6"/>
  <c r="H2327" i="6"/>
  <c r="J2327" i="6" s="1"/>
  <c r="G2327" i="6"/>
  <c r="I2327" i="6" s="1"/>
  <c r="E2327" i="6"/>
  <c r="H2326" i="6"/>
  <c r="J2326" i="6" s="1"/>
  <c r="G2326" i="6"/>
  <c r="I2326" i="6" s="1"/>
  <c r="E2326" i="6"/>
  <c r="H2325" i="6"/>
  <c r="J2325" i="6" s="1"/>
  <c r="G2325" i="6"/>
  <c r="I2325" i="6" s="1"/>
  <c r="E2325" i="6"/>
  <c r="H2324" i="6"/>
  <c r="J2324" i="6" s="1"/>
  <c r="G2324" i="6"/>
  <c r="I2324" i="6" s="1"/>
  <c r="E2324" i="6"/>
  <c r="H2323" i="6"/>
  <c r="J2323" i="6" s="1"/>
  <c r="G2323" i="6"/>
  <c r="I2323" i="6" s="1"/>
  <c r="E2323" i="6"/>
  <c r="H2322" i="6"/>
  <c r="J2322" i="6" s="1"/>
  <c r="G2322" i="6"/>
  <c r="I2322" i="6" s="1"/>
  <c r="E2322" i="6"/>
  <c r="F2319" i="6"/>
  <c r="K2360" i="6" s="1"/>
  <c r="G2318" i="6"/>
  <c r="F2318" i="6"/>
  <c r="G2317" i="6"/>
  <c r="F2317" i="6"/>
  <c r="G2316" i="6"/>
  <c r="F2316" i="6"/>
  <c r="C2313" i="6"/>
  <c r="A2313" i="6"/>
  <c r="B2313" i="6" s="1"/>
  <c r="B2309" i="6"/>
  <c r="A2309" i="6"/>
  <c r="H2308" i="6"/>
  <c r="J2308" i="6" s="1"/>
  <c r="G2308" i="6"/>
  <c r="I2308" i="6" s="1"/>
  <c r="E2308" i="6"/>
  <c r="H2307" i="6"/>
  <c r="J2307" i="6" s="1"/>
  <c r="G2307" i="6"/>
  <c r="I2307" i="6" s="1"/>
  <c r="E2307" i="6"/>
  <c r="H2306" i="6"/>
  <c r="J2306" i="6" s="1"/>
  <c r="G2306" i="6"/>
  <c r="I2306" i="6" s="1"/>
  <c r="E2306" i="6"/>
  <c r="H2305" i="6"/>
  <c r="J2305" i="6" s="1"/>
  <c r="G2305" i="6"/>
  <c r="I2305" i="6" s="1"/>
  <c r="E2305" i="6"/>
  <c r="G2304" i="6"/>
  <c r="I2304" i="6" s="1"/>
  <c r="E2304" i="6"/>
  <c r="P2302" i="6"/>
  <c r="R2302" i="6" s="1"/>
  <c r="B2302" i="6"/>
  <c r="A2302" i="6"/>
  <c r="H2301" i="6"/>
  <c r="J2301" i="6" s="1"/>
  <c r="G2301" i="6"/>
  <c r="I2301" i="6" s="1"/>
  <c r="E2301" i="6"/>
  <c r="H2300" i="6"/>
  <c r="J2300" i="6" s="1"/>
  <c r="G2300" i="6"/>
  <c r="I2300" i="6" s="1"/>
  <c r="E2300" i="6"/>
  <c r="H2299" i="6"/>
  <c r="J2299" i="6" s="1"/>
  <c r="G2299" i="6"/>
  <c r="I2299" i="6" s="1"/>
  <c r="E2299" i="6"/>
  <c r="H2298" i="6"/>
  <c r="J2298" i="6" s="1"/>
  <c r="G2298" i="6"/>
  <c r="I2298" i="6" s="1"/>
  <c r="E2298" i="6"/>
  <c r="H2297" i="6"/>
  <c r="J2297" i="6" s="1"/>
  <c r="G2297" i="6"/>
  <c r="K2302" i="6" s="1"/>
  <c r="E2297" i="6"/>
  <c r="A2295" i="6"/>
  <c r="B2295" i="6" s="1"/>
  <c r="H2294" i="6"/>
  <c r="J2294" i="6" s="1"/>
  <c r="G2294" i="6"/>
  <c r="I2294" i="6" s="1"/>
  <c r="E2294" i="6"/>
  <c r="H2293" i="6"/>
  <c r="J2293" i="6" s="1"/>
  <c r="G2293" i="6"/>
  <c r="I2293" i="6" s="1"/>
  <c r="E2293" i="6"/>
  <c r="H2292" i="6"/>
  <c r="J2292" i="6" s="1"/>
  <c r="G2292" i="6"/>
  <c r="I2292" i="6" s="1"/>
  <c r="E2292" i="6"/>
  <c r="H2291" i="6"/>
  <c r="J2291" i="6" s="1"/>
  <c r="G2291" i="6"/>
  <c r="I2291" i="6" s="1"/>
  <c r="E2291" i="6"/>
  <c r="H2290" i="6"/>
  <c r="J2290" i="6" s="1"/>
  <c r="G2290" i="6"/>
  <c r="I2290" i="6" s="1"/>
  <c r="E2290" i="6"/>
  <c r="H2289" i="6"/>
  <c r="J2289" i="6" s="1"/>
  <c r="G2289" i="6"/>
  <c r="I2289" i="6" s="1"/>
  <c r="E2289" i="6"/>
  <c r="H2288" i="6"/>
  <c r="J2288" i="6" s="1"/>
  <c r="G2288" i="6"/>
  <c r="I2288" i="6" s="1"/>
  <c r="E2288" i="6"/>
  <c r="H2287" i="6"/>
  <c r="J2287" i="6" s="1"/>
  <c r="G2287" i="6"/>
  <c r="I2287" i="6" s="1"/>
  <c r="E2287" i="6"/>
  <c r="H2286" i="6"/>
  <c r="J2286" i="6" s="1"/>
  <c r="G2286" i="6"/>
  <c r="I2286" i="6" s="1"/>
  <c r="E2286" i="6"/>
  <c r="H2285" i="6"/>
  <c r="J2285" i="6" s="1"/>
  <c r="G2285" i="6"/>
  <c r="I2285" i="6" s="1"/>
  <c r="E2285" i="6"/>
  <c r="H2284" i="6"/>
  <c r="J2284" i="6" s="1"/>
  <c r="G2284" i="6"/>
  <c r="I2284" i="6" s="1"/>
  <c r="E2284" i="6"/>
  <c r="H2283" i="6"/>
  <c r="J2283" i="6" s="1"/>
  <c r="G2283" i="6"/>
  <c r="I2283" i="6" s="1"/>
  <c r="E2283" i="6"/>
  <c r="H2282" i="6"/>
  <c r="J2282" i="6" s="1"/>
  <c r="G2282" i="6"/>
  <c r="I2282" i="6" s="1"/>
  <c r="E2282" i="6"/>
  <c r="H2281" i="6"/>
  <c r="J2281" i="6" s="1"/>
  <c r="G2281" i="6"/>
  <c r="I2281" i="6" s="1"/>
  <c r="E2281" i="6"/>
  <c r="H2280" i="6"/>
  <c r="J2280" i="6" s="1"/>
  <c r="G2280" i="6"/>
  <c r="I2280" i="6" s="1"/>
  <c r="E2280" i="6"/>
  <c r="H2279" i="6"/>
  <c r="J2279" i="6" s="1"/>
  <c r="G2279" i="6"/>
  <c r="I2279" i="6" s="1"/>
  <c r="E2279" i="6"/>
  <c r="H2278" i="6"/>
  <c r="J2278" i="6" s="1"/>
  <c r="G2278" i="6"/>
  <c r="I2278" i="6" s="1"/>
  <c r="E2278" i="6"/>
  <c r="H2277" i="6"/>
  <c r="J2277" i="6" s="1"/>
  <c r="G2277" i="6"/>
  <c r="I2277" i="6" s="1"/>
  <c r="E2277" i="6"/>
  <c r="H2276" i="6"/>
  <c r="J2276" i="6" s="1"/>
  <c r="G2276" i="6"/>
  <c r="I2276" i="6" s="1"/>
  <c r="E2276" i="6"/>
  <c r="H2275" i="6"/>
  <c r="J2275" i="6" s="1"/>
  <c r="G2275" i="6"/>
  <c r="I2275" i="6" s="1"/>
  <c r="E2275" i="6"/>
  <c r="F2272" i="6"/>
  <c r="K2313" i="6" s="1"/>
  <c r="G2271" i="6"/>
  <c r="F2271" i="6"/>
  <c r="G2270" i="6"/>
  <c r="F2270" i="6"/>
  <c r="G2269" i="6"/>
  <c r="F2269" i="6"/>
  <c r="C2266" i="6"/>
  <c r="A2266" i="6"/>
  <c r="B2266" i="6" s="1"/>
  <c r="B2262" i="6"/>
  <c r="A2262" i="6"/>
  <c r="H2261" i="6"/>
  <c r="J2261" i="6" s="1"/>
  <c r="G2261" i="6"/>
  <c r="I2261" i="6" s="1"/>
  <c r="E2261" i="6"/>
  <c r="H2260" i="6"/>
  <c r="J2260" i="6" s="1"/>
  <c r="G2260" i="6"/>
  <c r="I2260" i="6" s="1"/>
  <c r="E2260" i="6"/>
  <c r="H2259" i="6"/>
  <c r="J2259" i="6" s="1"/>
  <c r="G2259" i="6"/>
  <c r="I2259" i="6" s="1"/>
  <c r="E2259" i="6"/>
  <c r="H2258" i="6"/>
  <c r="J2258" i="6" s="1"/>
  <c r="G2258" i="6"/>
  <c r="I2258" i="6" s="1"/>
  <c r="E2258" i="6"/>
  <c r="G2257" i="6"/>
  <c r="I2257" i="6" s="1"/>
  <c r="E2257" i="6"/>
  <c r="R2255" i="6"/>
  <c r="P2255" i="6"/>
  <c r="A2255" i="6"/>
  <c r="B2255" i="6" s="1"/>
  <c r="H2254" i="6"/>
  <c r="J2254" i="6" s="1"/>
  <c r="G2254" i="6"/>
  <c r="I2254" i="6" s="1"/>
  <c r="E2254" i="6"/>
  <c r="H2253" i="6"/>
  <c r="J2253" i="6" s="1"/>
  <c r="G2253" i="6"/>
  <c r="I2253" i="6" s="1"/>
  <c r="E2253" i="6"/>
  <c r="H2252" i="6"/>
  <c r="J2252" i="6" s="1"/>
  <c r="G2252" i="6"/>
  <c r="I2252" i="6" s="1"/>
  <c r="E2252" i="6"/>
  <c r="H2251" i="6"/>
  <c r="J2251" i="6" s="1"/>
  <c r="G2251" i="6"/>
  <c r="I2251" i="6" s="1"/>
  <c r="E2251" i="6"/>
  <c r="H2250" i="6"/>
  <c r="J2250" i="6" s="1"/>
  <c r="G2250" i="6"/>
  <c r="K2255" i="6" s="1"/>
  <c r="E2250" i="6"/>
  <c r="A2248" i="6"/>
  <c r="B2248" i="6" s="1"/>
  <c r="H2247" i="6"/>
  <c r="J2247" i="6" s="1"/>
  <c r="G2247" i="6"/>
  <c r="I2247" i="6" s="1"/>
  <c r="E2247" i="6"/>
  <c r="H2246" i="6"/>
  <c r="J2246" i="6" s="1"/>
  <c r="G2246" i="6"/>
  <c r="I2246" i="6" s="1"/>
  <c r="E2246" i="6"/>
  <c r="H2245" i="6"/>
  <c r="J2245" i="6" s="1"/>
  <c r="G2245" i="6"/>
  <c r="I2245" i="6" s="1"/>
  <c r="E2245" i="6"/>
  <c r="H2244" i="6"/>
  <c r="J2244" i="6" s="1"/>
  <c r="G2244" i="6"/>
  <c r="I2244" i="6" s="1"/>
  <c r="E2244" i="6"/>
  <c r="H2243" i="6"/>
  <c r="J2243" i="6" s="1"/>
  <c r="G2243" i="6"/>
  <c r="I2243" i="6" s="1"/>
  <c r="E2243" i="6"/>
  <c r="H2242" i="6"/>
  <c r="J2242" i="6" s="1"/>
  <c r="G2242" i="6"/>
  <c r="I2242" i="6" s="1"/>
  <c r="E2242" i="6"/>
  <c r="H2241" i="6"/>
  <c r="J2241" i="6" s="1"/>
  <c r="G2241" i="6"/>
  <c r="I2241" i="6" s="1"/>
  <c r="E2241" i="6"/>
  <c r="H2240" i="6"/>
  <c r="J2240" i="6" s="1"/>
  <c r="G2240" i="6"/>
  <c r="I2240" i="6" s="1"/>
  <c r="E2240" i="6"/>
  <c r="H2239" i="6"/>
  <c r="J2239" i="6" s="1"/>
  <c r="G2239" i="6"/>
  <c r="I2239" i="6" s="1"/>
  <c r="E2239" i="6"/>
  <c r="H2238" i="6"/>
  <c r="J2238" i="6" s="1"/>
  <c r="G2238" i="6"/>
  <c r="I2238" i="6" s="1"/>
  <c r="E2238" i="6"/>
  <c r="H2237" i="6"/>
  <c r="J2237" i="6" s="1"/>
  <c r="G2237" i="6"/>
  <c r="I2237" i="6" s="1"/>
  <c r="E2237" i="6"/>
  <c r="H2236" i="6"/>
  <c r="J2236" i="6" s="1"/>
  <c r="G2236" i="6"/>
  <c r="I2236" i="6" s="1"/>
  <c r="E2236" i="6"/>
  <c r="H2235" i="6"/>
  <c r="J2235" i="6" s="1"/>
  <c r="G2235" i="6"/>
  <c r="I2235" i="6" s="1"/>
  <c r="E2235" i="6"/>
  <c r="H2234" i="6"/>
  <c r="J2234" i="6" s="1"/>
  <c r="G2234" i="6"/>
  <c r="I2234" i="6" s="1"/>
  <c r="E2234" i="6"/>
  <c r="H2233" i="6"/>
  <c r="J2233" i="6" s="1"/>
  <c r="G2233" i="6"/>
  <c r="I2233" i="6" s="1"/>
  <c r="E2233" i="6"/>
  <c r="H2232" i="6"/>
  <c r="J2232" i="6" s="1"/>
  <c r="G2232" i="6"/>
  <c r="I2232" i="6" s="1"/>
  <c r="E2232" i="6"/>
  <c r="H2231" i="6"/>
  <c r="J2231" i="6" s="1"/>
  <c r="G2231" i="6"/>
  <c r="I2231" i="6" s="1"/>
  <c r="E2231" i="6"/>
  <c r="H2230" i="6"/>
  <c r="J2230" i="6" s="1"/>
  <c r="G2230" i="6"/>
  <c r="I2230" i="6" s="1"/>
  <c r="E2230" i="6"/>
  <c r="H2229" i="6"/>
  <c r="J2229" i="6" s="1"/>
  <c r="G2229" i="6"/>
  <c r="I2229" i="6" s="1"/>
  <c r="E2229" i="6"/>
  <c r="H2228" i="6"/>
  <c r="J2228" i="6" s="1"/>
  <c r="G2228" i="6"/>
  <c r="I2228" i="6" s="1"/>
  <c r="E2228" i="6"/>
  <c r="F2225" i="6"/>
  <c r="K2266" i="6" s="1"/>
  <c r="G2224" i="6"/>
  <c r="F2224" i="6"/>
  <c r="G2223" i="6"/>
  <c r="F2223" i="6"/>
  <c r="G2222" i="6"/>
  <c r="F2222" i="6"/>
  <c r="C2219" i="6"/>
  <c r="A2219" i="6"/>
  <c r="B2219" i="6" s="1"/>
  <c r="B2215" i="6"/>
  <c r="A2215" i="6"/>
  <c r="H2214" i="6"/>
  <c r="J2214" i="6" s="1"/>
  <c r="G2214" i="6"/>
  <c r="I2214" i="6" s="1"/>
  <c r="E2214" i="6"/>
  <c r="H2213" i="6"/>
  <c r="J2213" i="6" s="1"/>
  <c r="G2213" i="6"/>
  <c r="I2213" i="6" s="1"/>
  <c r="E2213" i="6"/>
  <c r="H2212" i="6"/>
  <c r="J2212" i="6" s="1"/>
  <c r="G2212" i="6"/>
  <c r="I2212" i="6" s="1"/>
  <c r="E2212" i="6"/>
  <c r="H2211" i="6"/>
  <c r="J2211" i="6" s="1"/>
  <c r="G2211" i="6"/>
  <c r="I2211" i="6" s="1"/>
  <c r="E2211" i="6"/>
  <c r="G2210" i="6"/>
  <c r="I2210" i="6" s="1"/>
  <c r="E2210" i="6"/>
  <c r="P2208" i="6"/>
  <c r="R2208" i="6" s="1"/>
  <c r="A2208" i="6"/>
  <c r="B2208" i="6" s="1"/>
  <c r="H2207" i="6"/>
  <c r="J2207" i="6" s="1"/>
  <c r="G2207" i="6"/>
  <c r="I2207" i="6" s="1"/>
  <c r="E2207" i="6"/>
  <c r="H2206" i="6"/>
  <c r="J2206" i="6" s="1"/>
  <c r="G2206" i="6"/>
  <c r="I2206" i="6" s="1"/>
  <c r="E2206" i="6"/>
  <c r="H2205" i="6"/>
  <c r="J2205" i="6" s="1"/>
  <c r="G2205" i="6"/>
  <c r="I2205" i="6" s="1"/>
  <c r="E2205" i="6"/>
  <c r="H2204" i="6"/>
  <c r="J2204" i="6" s="1"/>
  <c r="G2204" i="6"/>
  <c r="I2204" i="6" s="1"/>
  <c r="E2204" i="6"/>
  <c r="H2203" i="6"/>
  <c r="J2203" i="6" s="1"/>
  <c r="G2203" i="6"/>
  <c r="K2208" i="6" s="1"/>
  <c r="E2203" i="6"/>
  <c r="A2201" i="6"/>
  <c r="B2201" i="6" s="1"/>
  <c r="H2200" i="6"/>
  <c r="J2200" i="6" s="1"/>
  <c r="G2200" i="6"/>
  <c r="I2200" i="6" s="1"/>
  <c r="E2200" i="6"/>
  <c r="H2199" i="6"/>
  <c r="J2199" i="6" s="1"/>
  <c r="G2199" i="6"/>
  <c r="I2199" i="6" s="1"/>
  <c r="E2199" i="6"/>
  <c r="H2198" i="6"/>
  <c r="J2198" i="6" s="1"/>
  <c r="G2198" i="6"/>
  <c r="I2198" i="6" s="1"/>
  <c r="E2198" i="6"/>
  <c r="H2197" i="6"/>
  <c r="J2197" i="6" s="1"/>
  <c r="G2197" i="6"/>
  <c r="I2197" i="6" s="1"/>
  <c r="E2197" i="6"/>
  <c r="H2196" i="6"/>
  <c r="J2196" i="6" s="1"/>
  <c r="G2196" i="6"/>
  <c r="I2196" i="6" s="1"/>
  <c r="E2196" i="6"/>
  <c r="H2195" i="6"/>
  <c r="J2195" i="6" s="1"/>
  <c r="G2195" i="6"/>
  <c r="I2195" i="6" s="1"/>
  <c r="E2195" i="6"/>
  <c r="H2194" i="6"/>
  <c r="J2194" i="6" s="1"/>
  <c r="G2194" i="6"/>
  <c r="I2194" i="6" s="1"/>
  <c r="E2194" i="6"/>
  <c r="H2193" i="6"/>
  <c r="J2193" i="6" s="1"/>
  <c r="G2193" i="6"/>
  <c r="I2193" i="6" s="1"/>
  <c r="E2193" i="6"/>
  <c r="H2192" i="6"/>
  <c r="J2192" i="6" s="1"/>
  <c r="G2192" i="6"/>
  <c r="I2192" i="6" s="1"/>
  <c r="E2192" i="6"/>
  <c r="H2191" i="6"/>
  <c r="J2191" i="6" s="1"/>
  <c r="G2191" i="6"/>
  <c r="I2191" i="6" s="1"/>
  <c r="E2191" i="6"/>
  <c r="H2190" i="6"/>
  <c r="J2190" i="6" s="1"/>
  <c r="G2190" i="6"/>
  <c r="I2190" i="6" s="1"/>
  <c r="E2190" i="6"/>
  <c r="H2189" i="6"/>
  <c r="J2189" i="6" s="1"/>
  <c r="G2189" i="6"/>
  <c r="I2189" i="6" s="1"/>
  <c r="E2189" i="6"/>
  <c r="H2188" i="6"/>
  <c r="J2188" i="6" s="1"/>
  <c r="G2188" i="6"/>
  <c r="I2188" i="6" s="1"/>
  <c r="E2188" i="6"/>
  <c r="H2187" i="6"/>
  <c r="J2187" i="6" s="1"/>
  <c r="G2187" i="6"/>
  <c r="I2187" i="6" s="1"/>
  <c r="E2187" i="6"/>
  <c r="H2186" i="6"/>
  <c r="J2186" i="6" s="1"/>
  <c r="G2186" i="6"/>
  <c r="I2186" i="6" s="1"/>
  <c r="E2186" i="6"/>
  <c r="H2185" i="6"/>
  <c r="J2185" i="6" s="1"/>
  <c r="G2185" i="6"/>
  <c r="I2185" i="6" s="1"/>
  <c r="E2185" i="6"/>
  <c r="H2184" i="6"/>
  <c r="J2184" i="6" s="1"/>
  <c r="G2184" i="6"/>
  <c r="I2184" i="6" s="1"/>
  <c r="E2184" i="6"/>
  <c r="H2183" i="6"/>
  <c r="J2183" i="6" s="1"/>
  <c r="G2183" i="6"/>
  <c r="I2183" i="6" s="1"/>
  <c r="E2183" i="6"/>
  <c r="H2182" i="6"/>
  <c r="J2182" i="6" s="1"/>
  <c r="G2182" i="6"/>
  <c r="I2182" i="6" s="1"/>
  <c r="E2182" i="6"/>
  <c r="H2181" i="6"/>
  <c r="J2181" i="6" s="1"/>
  <c r="G2181" i="6"/>
  <c r="I2181" i="6" s="1"/>
  <c r="E2181" i="6"/>
  <c r="F2178" i="6"/>
  <c r="K2219" i="6" s="1"/>
  <c r="G2177" i="6"/>
  <c r="F2177" i="6"/>
  <c r="G2176" i="6"/>
  <c r="F2176" i="6"/>
  <c r="G2175" i="6"/>
  <c r="F2175" i="6"/>
  <c r="C2172" i="6"/>
  <c r="A2172" i="6"/>
  <c r="B2172" i="6" s="1"/>
  <c r="A2168" i="6"/>
  <c r="B2168" i="6" s="1"/>
  <c r="H2167" i="6"/>
  <c r="J2167" i="6" s="1"/>
  <c r="G2167" i="6"/>
  <c r="I2167" i="6" s="1"/>
  <c r="E2167" i="6"/>
  <c r="H2166" i="6"/>
  <c r="J2166" i="6" s="1"/>
  <c r="G2166" i="6"/>
  <c r="I2166" i="6" s="1"/>
  <c r="E2166" i="6"/>
  <c r="H2165" i="6"/>
  <c r="J2165" i="6" s="1"/>
  <c r="G2165" i="6"/>
  <c r="I2165" i="6" s="1"/>
  <c r="E2165" i="6"/>
  <c r="H2164" i="6"/>
  <c r="J2164" i="6" s="1"/>
  <c r="G2164" i="6"/>
  <c r="I2164" i="6" s="1"/>
  <c r="E2164" i="6"/>
  <c r="G2163" i="6"/>
  <c r="I2163" i="6" s="1"/>
  <c r="E2163" i="6"/>
  <c r="P2161" i="6"/>
  <c r="R2161" i="6" s="1"/>
  <c r="A2161" i="6"/>
  <c r="B2161" i="6" s="1"/>
  <c r="H2160" i="6"/>
  <c r="J2160" i="6" s="1"/>
  <c r="G2160" i="6"/>
  <c r="I2160" i="6" s="1"/>
  <c r="E2160" i="6"/>
  <c r="H2159" i="6"/>
  <c r="J2159" i="6" s="1"/>
  <c r="G2159" i="6"/>
  <c r="I2159" i="6" s="1"/>
  <c r="E2159" i="6"/>
  <c r="H2158" i="6"/>
  <c r="J2158" i="6" s="1"/>
  <c r="G2158" i="6"/>
  <c r="I2158" i="6" s="1"/>
  <c r="E2158" i="6"/>
  <c r="H2157" i="6"/>
  <c r="J2157" i="6" s="1"/>
  <c r="G2157" i="6"/>
  <c r="I2157" i="6" s="1"/>
  <c r="E2157" i="6"/>
  <c r="H2156" i="6"/>
  <c r="J2156" i="6" s="1"/>
  <c r="G2156" i="6"/>
  <c r="K2161" i="6" s="1"/>
  <c r="E2156" i="6"/>
  <c r="A2154" i="6"/>
  <c r="B2154" i="6" s="1"/>
  <c r="H2153" i="6"/>
  <c r="J2153" i="6" s="1"/>
  <c r="G2153" i="6"/>
  <c r="I2153" i="6" s="1"/>
  <c r="E2153" i="6"/>
  <c r="H2152" i="6"/>
  <c r="J2152" i="6" s="1"/>
  <c r="G2152" i="6"/>
  <c r="I2152" i="6" s="1"/>
  <c r="E2152" i="6"/>
  <c r="H2151" i="6"/>
  <c r="J2151" i="6" s="1"/>
  <c r="G2151" i="6"/>
  <c r="I2151" i="6" s="1"/>
  <c r="E2151" i="6"/>
  <c r="H2150" i="6"/>
  <c r="J2150" i="6" s="1"/>
  <c r="G2150" i="6"/>
  <c r="I2150" i="6" s="1"/>
  <c r="E2150" i="6"/>
  <c r="H2149" i="6"/>
  <c r="J2149" i="6" s="1"/>
  <c r="G2149" i="6"/>
  <c r="I2149" i="6" s="1"/>
  <c r="E2149" i="6"/>
  <c r="H2148" i="6"/>
  <c r="J2148" i="6" s="1"/>
  <c r="G2148" i="6"/>
  <c r="I2148" i="6" s="1"/>
  <c r="E2148" i="6"/>
  <c r="H2147" i="6"/>
  <c r="J2147" i="6" s="1"/>
  <c r="G2147" i="6"/>
  <c r="I2147" i="6" s="1"/>
  <c r="E2147" i="6"/>
  <c r="H2146" i="6"/>
  <c r="J2146" i="6" s="1"/>
  <c r="G2146" i="6"/>
  <c r="I2146" i="6" s="1"/>
  <c r="E2146" i="6"/>
  <c r="H2145" i="6"/>
  <c r="J2145" i="6" s="1"/>
  <c r="G2145" i="6"/>
  <c r="I2145" i="6" s="1"/>
  <c r="E2145" i="6"/>
  <c r="H2144" i="6"/>
  <c r="J2144" i="6" s="1"/>
  <c r="G2144" i="6"/>
  <c r="I2144" i="6" s="1"/>
  <c r="E2144" i="6"/>
  <c r="H2143" i="6"/>
  <c r="J2143" i="6" s="1"/>
  <c r="G2143" i="6"/>
  <c r="I2143" i="6" s="1"/>
  <c r="E2143" i="6"/>
  <c r="H2142" i="6"/>
  <c r="J2142" i="6" s="1"/>
  <c r="G2142" i="6"/>
  <c r="I2142" i="6" s="1"/>
  <c r="E2142" i="6"/>
  <c r="H2141" i="6"/>
  <c r="J2141" i="6" s="1"/>
  <c r="G2141" i="6"/>
  <c r="I2141" i="6" s="1"/>
  <c r="E2141" i="6"/>
  <c r="H2140" i="6"/>
  <c r="J2140" i="6" s="1"/>
  <c r="G2140" i="6"/>
  <c r="I2140" i="6" s="1"/>
  <c r="E2140" i="6"/>
  <c r="H2139" i="6"/>
  <c r="J2139" i="6" s="1"/>
  <c r="G2139" i="6"/>
  <c r="I2139" i="6" s="1"/>
  <c r="E2139" i="6"/>
  <c r="H2138" i="6"/>
  <c r="J2138" i="6" s="1"/>
  <c r="G2138" i="6"/>
  <c r="I2138" i="6" s="1"/>
  <c r="E2138" i="6"/>
  <c r="H2137" i="6"/>
  <c r="J2137" i="6" s="1"/>
  <c r="G2137" i="6"/>
  <c r="I2137" i="6" s="1"/>
  <c r="E2137" i="6"/>
  <c r="H2136" i="6"/>
  <c r="J2136" i="6" s="1"/>
  <c r="G2136" i="6"/>
  <c r="I2136" i="6" s="1"/>
  <c r="E2136" i="6"/>
  <c r="H2135" i="6"/>
  <c r="J2135" i="6" s="1"/>
  <c r="G2135" i="6"/>
  <c r="I2135" i="6" s="1"/>
  <c r="E2135" i="6"/>
  <c r="H2134" i="6"/>
  <c r="J2134" i="6" s="1"/>
  <c r="G2134" i="6"/>
  <c r="I2134" i="6" s="1"/>
  <c r="E2134" i="6"/>
  <c r="F2131" i="6"/>
  <c r="K2172" i="6" s="1"/>
  <c r="G2130" i="6"/>
  <c r="F2130" i="6"/>
  <c r="G2129" i="6"/>
  <c r="F2129" i="6"/>
  <c r="G2128" i="6"/>
  <c r="F2128" i="6"/>
  <c r="C2125" i="6"/>
  <c r="B2125" i="6"/>
  <c r="A2125" i="6"/>
  <c r="B2121" i="6"/>
  <c r="A2121" i="6"/>
  <c r="H2120" i="6"/>
  <c r="J2120" i="6" s="1"/>
  <c r="G2120" i="6"/>
  <c r="I2120" i="6" s="1"/>
  <c r="E2120" i="6"/>
  <c r="H2119" i="6"/>
  <c r="J2119" i="6" s="1"/>
  <c r="G2119" i="6"/>
  <c r="I2119" i="6" s="1"/>
  <c r="E2119" i="6"/>
  <c r="H2118" i="6"/>
  <c r="J2118" i="6" s="1"/>
  <c r="G2118" i="6"/>
  <c r="I2118" i="6" s="1"/>
  <c r="E2118" i="6"/>
  <c r="H2117" i="6"/>
  <c r="J2117" i="6" s="1"/>
  <c r="G2117" i="6"/>
  <c r="I2117" i="6" s="1"/>
  <c r="E2117" i="6"/>
  <c r="G2116" i="6"/>
  <c r="I2116" i="6" s="1"/>
  <c r="E2116" i="6"/>
  <c r="P2114" i="6"/>
  <c r="R2114" i="6" s="1"/>
  <c r="B2114" i="6"/>
  <c r="A2114" i="6"/>
  <c r="H2113" i="6"/>
  <c r="J2113" i="6" s="1"/>
  <c r="G2113" i="6"/>
  <c r="I2113" i="6" s="1"/>
  <c r="E2113" i="6"/>
  <c r="H2112" i="6"/>
  <c r="J2112" i="6" s="1"/>
  <c r="G2112" i="6"/>
  <c r="I2112" i="6" s="1"/>
  <c r="E2112" i="6"/>
  <c r="H2111" i="6"/>
  <c r="J2111" i="6" s="1"/>
  <c r="G2111" i="6"/>
  <c r="I2111" i="6" s="1"/>
  <c r="E2111" i="6"/>
  <c r="H2110" i="6"/>
  <c r="J2110" i="6" s="1"/>
  <c r="G2110" i="6"/>
  <c r="I2110" i="6" s="1"/>
  <c r="E2110" i="6"/>
  <c r="H2109" i="6"/>
  <c r="J2109" i="6" s="1"/>
  <c r="G2109" i="6"/>
  <c r="K2114" i="6" s="1"/>
  <c r="E2109" i="6"/>
  <c r="B2107" i="6"/>
  <c r="A2107" i="6"/>
  <c r="H2106" i="6"/>
  <c r="J2106" i="6" s="1"/>
  <c r="G2106" i="6"/>
  <c r="I2106" i="6" s="1"/>
  <c r="E2106" i="6"/>
  <c r="H2105" i="6"/>
  <c r="J2105" i="6" s="1"/>
  <c r="G2105" i="6"/>
  <c r="I2105" i="6" s="1"/>
  <c r="E2105" i="6"/>
  <c r="H2104" i="6"/>
  <c r="J2104" i="6" s="1"/>
  <c r="G2104" i="6"/>
  <c r="I2104" i="6" s="1"/>
  <c r="E2104" i="6"/>
  <c r="H2103" i="6"/>
  <c r="J2103" i="6" s="1"/>
  <c r="G2103" i="6"/>
  <c r="I2103" i="6" s="1"/>
  <c r="E2103" i="6"/>
  <c r="H2102" i="6"/>
  <c r="J2102" i="6" s="1"/>
  <c r="G2102" i="6"/>
  <c r="I2102" i="6" s="1"/>
  <c r="E2102" i="6"/>
  <c r="H2101" i="6"/>
  <c r="J2101" i="6" s="1"/>
  <c r="G2101" i="6"/>
  <c r="I2101" i="6" s="1"/>
  <c r="E2101" i="6"/>
  <c r="H2100" i="6"/>
  <c r="J2100" i="6" s="1"/>
  <c r="G2100" i="6"/>
  <c r="I2100" i="6" s="1"/>
  <c r="E2100" i="6"/>
  <c r="H2099" i="6"/>
  <c r="J2099" i="6" s="1"/>
  <c r="G2099" i="6"/>
  <c r="I2099" i="6" s="1"/>
  <c r="E2099" i="6"/>
  <c r="H2098" i="6"/>
  <c r="J2098" i="6" s="1"/>
  <c r="G2098" i="6"/>
  <c r="I2098" i="6" s="1"/>
  <c r="E2098" i="6"/>
  <c r="H2097" i="6"/>
  <c r="J2097" i="6" s="1"/>
  <c r="G2097" i="6"/>
  <c r="I2097" i="6" s="1"/>
  <c r="E2097" i="6"/>
  <c r="H2096" i="6"/>
  <c r="J2096" i="6" s="1"/>
  <c r="G2096" i="6"/>
  <c r="I2096" i="6" s="1"/>
  <c r="E2096" i="6"/>
  <c r="H2095" i="6"/>
  <c r="J2095" i="6" s="1"/>
  <c r="G2095" i="6"/>
  <c r="I2095" i="6" s="1"/>
  <c r="E2095" i="6"/>
  <c r="H2094" i="6"/>
  <c r="J2094" i="6" s="1"/>
  <c r="G2094" i="6"/>
  <c r="I2094" i="6" s="1"/>
  <c r="E2094" i="6"/>
  <c r="H2093" i="6"/>
  <c r="J2093" i="6" s="1"/>
  <c r="G2093" i="6"/>
  <c r="I2093" i="6" s="1"/>
  <c r="E2093" i="6"/>
  <c r="H2092" i="6"/>
  <c r="J2092" i="6" s="1"/>
  <c r="G2092" i="6"/>
  <c r="I2092" i="6" s="1"/>
  <c r="E2092" i="6"/>
  <c r="H2091" i="6"/>
  <c r="J2091" i="6" s="1"/>
  <c r="G2091" i="6"/>
  <c r="I2091" i="6" s="1"/>
  <c r="E2091" i="6"/>
  <c r="H2090" i="6"/>
  <c r="J2090" i="6" s="1"/>
  <c r="G2090" i="6"/>
  <c r="I2090" i="6" s="1"/>
  <c r="E2090" i="6"/>
  <c r="H2089" i="6"/>
  <c r="J2089" i="6" s="1"/>
  <c r="G2089" i="6"/>
  <c r="I2089" i="6" s="1"/>
  <c r="E2089" i="6"/>
  <c r="H2088" i="6"/>
  <c r="J2088" i="6" s="1"/>
  <c r="G2088" i="6"/>
  <c r="I2088" i="6" s="1"/>
  <c r="E2088" i="6"/>
  <c r="H2087" i="6"/>
  <c r="J2087" i="6" s="1"/>
  <c r="G2087" i="6"/>
  <c r="I2087" i="6" s="1"/>
  <c r="E2087" i="6"/>
  <c r="F2084" i="6"/>
  <c r="K2123" i="6" s="1"/>
  <c r="G2083" i="6"/>
  <c r="F2083" i="6"/>
  <c r="G2082" i="6"/>
  <c r="F2082" i="6"/>
  <c r="G2081" i="6"/>
  <c r="F2081" i="6"/>
  <c r="R2349" i="6" l="1"/>
  <c r="G74" i="16"/>
  <c r="I103" i="6"/>
  <c r="I855" i="6"/>
  <c r="G95" i="16"/>
  <c r="G93" i="16"/>
  <c r="I479" i="6"/>
  <c r="I1231" i="6"/>
  <c r="I291" i="6"/>
  <c r="I667" i="6"/>
  <c r="I1043" i="6"/>
  <c r="I1607" i="6"/>
  <c r="I1419" i="6"/>
  <c r="I1795" i="6"/>
  <c r="I2030" i="6"/>
  <c r="I2218" i="6"/>
  <c r="I2594" i="6"/>
  <c r="I2406" i="6"/>
  <c r="I3017" i="6"/>
  <c r="I2829" i="6"/>
  <c r="I244" i="6"/>
  <c r="I56" i="6"/>
  <c r="I620" i="6"/>
  <c r="I432" i="6"/>
  <c r="I996" i="6"/>
  <c r="R2678" i="6"/>
  <c r="I808" i="6"/>
  <c r="I1184" i="6"/>
  <c r="I1560" i="6"/>
  <c r="I1372" i="6"/>
  <c r="I1748" i="6"/>
  <c r="I2171" i="6"/>
  <c r="I1983" i="6"/>
  <c r="I2547" i="6"/>
  <c r="I197" i="6"/>
  <c r="I385" i="6"/>
  <c r="I573" i="6"/>
  <c r="I761" i="6"/>
  <c r="I949" i="6"/>
  <c r="I1137" i="6"/>
  <c r="I1325" i="6"/>
  <c r="I1513" i="6"/>
  <c r="I1701" i="6"/>
  <c r="I1936" i="6"/>
  <c r="I2124" i="6"/>
  <c r="I2312" i="6"/>
  <c r="I2500" i="6"/>
  <c r="I2735" i="6"/>
  <c r="I2923" i="6"/>
  <c r="I3111" i="6"/>
  <c r="I150" i="6"/>
  <c r="I338" i="6"/>
  <c r="I526" i="6"/>
  <c r="I714" i="6"/>
  <c r="I902" i="6"/>
  <c r="I1090" i="6"/>
  <c r="I1278" i="6"/>
  <c r="I1466" i="6"/>
  <c r="I1654" i="6"/>
  <c r="I1889" i="6"/>
  <c r="I2077" i="6"/>
  <c r="I2359" i="6"/>
  <c r="I2782" i="6"/>
  <c r="I2970" i="6"/>
  <c r="I2265" i="6"/>
  <c r="I2453" i="6"/>
  <c r="I2641" i="6"/>
  <c r="I2876" i="6"/>
  <c r="R3007" i="6"/>
  <c r="R2960" i="6"/>
  <c r="R2396" i="6"/>
  <c r="N2396" i="6" s="1"/>
  <c r="J3007" i="6"/>
  <c r="J2725" i="6"/>
  <c r="J2765" i="6"/>
  <c r="J2819" i="6"/>
  <c r="J2107" i="6"/>
  <c r="J2208" i="6"/>
  <c r="J2349" i="6"/>
  <c r="J2389" i="6"/>
  <c r="J2490" i="6"/>
  <c r="J3054" i="6"/>
  <c r="J2624" i="6"/>
  <c r="J2671" i="6"/>
  <c r="J2114" i="6"/>
  <c r="J2154" i="6"/>
  <c r="J2255" i="6"/>
  <c r="J2295" i="6"/>
  <c r="J2443" i="6"/>
  <c r="J2577" i="6"/>
  <c r="J2631" i="6"/>
  <c r="H2633" i="6" s="1"/>
  <c r="J2633" i="6" s="1"/>
  <c r="J2638" i="6" s="1"/>
  <c r="J2640" i="6" s="1"/>
  <c r="J2641" i="6" s="1"/>
  <c r="J2642" i="6" s="1"/>
  <c r="H82" i="16" s="1"/>
  <c r="O82" i="16" s="1"/>
  <c r="J3094" i="6"/>
  <c r="I2109" i="6"/>
  <c r="K2107" i="6"/>
  <c r="K2124" i="6"/>
  <c r="K2125" i="6"/>
  <c r="J3101" i="6"/>
  <c r="K3094" i="6"/>
  <c r="I3096" i="6"/>
  <c r="K3110" i="6"/>
  <c r="K3111" i="6"/>
  <c r="J3047" i="6"/>
  <c r="H3056" i="6" s="1"/>
  <c r="J3056" i="6" s="1"/>
  <c r="J3061" i="6" s="1"/>
  <c r="J3063" i="6" s="1"/>
  <c r="J3064" i="6" s="1"/>
  <c r="J3065" i="6" s="1"/>
  <c r="H98" i="16" s="1"/>
  <c r="O98" i="16" s="1"/>
  <c r="K3047" i="6"/>
  <c r="I3049" i="6"/>
  <c r="K3063" i="6"/>
  <c r="K3064" i="6"/>
  <c r="J3000" i="6"/>
  <c r="K3000" i="6"/>
  <c r="I3002" i="6"/>
  <c r="K3016" i="6"/>
  <c r="K3017" i="6"/>
  <c r="J2953" i="6"/>
  <c r="J2960" i="6"/>
  <c r="I2955" i="6"/>
  <c r="K2969" i="6"/>
  <c r="K2970" i="6"/>
  <c r="K2953" i="6"/>
  <c r="J2906" i="6"/>
  <c r="J2913" i="6"/>
  <c r="K2906" i="6"/>
  <c r="I2908" i="6"/>
  <c r="K2922" i="6"/>
  <c r="K2923" i="6"/>
  <c r="J2859" i="6"/>
  <c r="J2866" i="6"/>
  <c r="K2859" i="6"/>
  <c r="I2861" i="6"/>
  <c r="K2875" i="6"/>
  <c r="K2876" i="6"/>
  <c r="J2812" i="6"/>
  <c r="K2812" i="6"/>
  <c r="I2814" i="6"/>
  <c r="K2828" i="6"/>
  <c r="K2829" i="6"/>
  <c r="J2772" i="6"/>
  <c r="K2765" i="6"/>
  <c r="I2767" i="6"/>
  <c r="K2781" i="6"/>
  <c r="K2782" i="6"/>
  <c r="J2718" i="6"/>
  <c r="K2718" i="6"/>
  <c r="I2720" i="6"/>
  <c r="K2734" i="6"/>
  <c r="K2735" i="6"/>
  <c r="J2678" i="6"/>
  <c r="K2671" i="6"/>
  <c r="I2673" i="6"/>
  <c r="K2687" i="6"/>
  <c r="K2688" i="6"/>
  <c r="K2624" i="6"/>
  <c r="I2626" i="6"/>
  <c r="K2640" i="6"/>
  <c r="K2641" i="6"/>
  <c r="J2584" i="6"/>
  <c r="H2586" i="6" s="1"/>
  <c r="J2586" i="6" s="1"/>
  <c r="J2591" i="6" s="1"/>
  <c r="J2593" i="6" s="1"/>
  <c r="J2594" i="6" s="1"/>
  <c r="J2595" i="6" s="1"/>
  <c r="H81" i="16" s="1"/>
  <c r="O81" i="16" s="1"/>
  <c r="K2577" i="6"/>
  <c r="I2579" i="6"/>
  <c r="K2593" i="6"/>
  <c r="K2594" i="6"/>
  <c r="J2537" i="6"/>
  <c r="K2530" i="6"/>
  <c r="I2532" i="6"/>
  <c r="K2546" i="6"/>
  <c r="K2547" i="6"/>
  <c r="K2483" i="6"/>
  <c r="I2485" i="6"/>
  <c r="K2499" i="6"/>
  <c r="K2500" i="6"/>
  <c r="J2436" i="6"/>
  <c r="K2436" i="6"/>
  <c r="I2438" i="6"/>
  <c r="K2452" i="6"/>
  <c r="K2453" i="6"/>
  <c r="J2396" i="6"/>
  <c r="K2389" i="6"/>
  <c r="I2391" i="6"/>
  <c r="K2405" i="6"/>
  <c r="K2406" i="6"/>
  <c r="J2342" i="6"/>
  <c r="K2342" i="6"/>
  <c r="I2344" i="6"/>
  <c r="K2358" i="6"/>
  <c r="K2359" i="6"/>
  <c r="J2302" i="6"/>
  <c r="K2295" i="6"/>
  <c r="I2297" i="6"/>
  <c r="K2311" i="6"/>
  <c r="K2312" i="6"/>
  <c r="J2248" i="6"/>
  <c r="K2248" i="6"/>
  <c r="I2250" i="6"/>
  <c r="K2264" i="6"/>
  <c r="K2265" i="6"/>
  <c r="J2201" i="6"/>
  <c r="K2201" i="6"/>
  <c r="I2203" i="6"/>
  <c r="K2217" i="6"/>
  <c r="K2218" i="6"/>
  <c r="J2161" i="6"/>
  <c r="K2154" i="6"/>
  <c r="I2156" i="6"/>
  <c r="K2170" i="6"/>
  <c r="K2171" i="6"/>
  <c r="C16" i="16"/>
  <c r="C17" i="16"/>
  <c r="C18" i="16"/>
  <c r="C19" i="16"/>
  <c r="E23" i="16"/>
  <c r="D23" i="16"/>
  <c r="C21" i="16"/>
  <c r="C22" i="16"/>
  <c r="C24" i="16"/>
  <c r="C25" i="16"/>
  <c r="C26" i="16"/>
  <c r="C27" i="16"/>
  <c r="C28" i="16"/>
  <c r="C29" i="16"/>
  <c r="C30" i="16"/>
  <c r="C31" i="16"/>
  <c r="C32" i="16"/>
  <c r="C34" i="16"/>
  <c r="C35" i="16"/>
  <c r="C36" i="16"/>
  <c r="C37" i="16"/>
  <c r="C38" i="16"/>
  <c r="C39" i="16"/>
  <c r="C41" i="16"/>
  <c r="C42" i="16"/>
  <c r="C43" i="16"/>
  <c r="C44" i="16"/>
  <c r="C47" i="16"/>
  <c r="C48" i="16"/>
  <c r="C49" i="16"/>
  <c r="C50" i="16"/>
  <c r="C51" i="16"/>
  <c r="C52" i="16"/>
  <c r="C53" i="16"/>
  <c r="C55" i="16"/>
  <c r="C56" i="16"/>
  <c r="C57" i="16"/>
  <c r="C59" i="16"/>
  <c r="C60" i="16"/>
  <c r="C61" i="16"/>
  <c r="C63" i="16"/>
  <c r="C64" i="16"/>
  <c r="C65" i="16"/>
  <c r="C66" i="16"/>
  <c r="C67" i="16"/>
  <c r="D66" i="16"/>
  <c r="E66" i="16"/>
  <c r="F66" i="16"/>
  <c r="D67" i="16"/>
  <c r="E67" i="16"/>
  <c r="F67" i="16"/>
  <c r="D53" i="16"/>
  <c r="E53" i="16"/>
  <c r="F53" i="16"/>
  <c r="D54" i="16"/>
  <c r="E54" i="16"/>
  <c r="D55" i="16"/>
  <c r="E55" i="16"/>
  <c r="F55" i="16"/>
  <c r="D56" i="16"/>
  <c r="E56" i="16"/>
  <c r="D57" i="16"/>
  <c r="E57" i="16"/>
  <c r="F57" i="16"/>
  <c r="D58" i="16"/>
  <c r="E58" i="16"/>
  <c r="D59" i="16"/>
  <c r="E59" i="16"/>
  <c r="F59" i="16"/>
  <c r="G59" i="16"/>
  <c r="D60" i="16"/>
  <c r="E60" i="16"/>
  <c r="F60" i="16"/>
  <c r="G60" i="16"/>
  <c r="D61" i="16"/>
  <c r="E61" i="16"/>
  <c r="F61" i="16"/>
  <c r="G61" i="16"/>
  <c r="D62" i="16"/>
  <c r="E62" i="16"/>
  <c r="D63" i="16"/>
  <c r="E63" i="16"/>
  <c r="F63" i="16"/>
  <c r="D64" i="16"/>
  <c r="E64" i="16"/>
  <c r="F64" i="16"/>
  <c r="D65" i="16"/>
  <c r="E65" i="16"/>
  <c r="F65" i="16"/>
  <c r="D45" i="16"/>
  <c r="E45" i="16"/>
  <c r="D46" i="16"/>
  <c r="E46" i="16"/>
  <c r="D47" i="16"/>
  <c r="E47" i="16"/>
  <c r="F47" i="16"/>
  <c r="D48" i="16"/>
  <c r="E48" i="16"/>
  <c r="F48" i="16"/>
  <c r="D49" i="16"/>
  <c r="E49" i="16"/>
  <c r="F49" i="16"/>
  <c r="D50" i="16"/>
  <c r="E50" i="16"/>
  <c r="F50" i="16"/>
  <c r="D51" i="16"/>
  <c r="E51" i="16"/>
  <c r="F51" i="16"/>
  <c r="D52" i="16"/>
  <c r="E52" i="16"/>
  <c r="F52" i="16"/>
  <c r="D35" i="16"/>
  <c r="E35" i="16"/>
  <c r="F35" i="16"/>
  <c r="D36" i="16"/>
  <c r="E36" i="16"/>
  <c r="F36" i="16"/>
  <c r="D37" i="16"/>
  <c r="E37" i="16"/>
  <c r="F37" i="16"/>
  <c r="D38" i="16"/>
  <c r="E38" i="16"/>
  <c r="F38" i="16"/>
  <c r="D39" i="16"/>
  <c r="E39" i="16"/>
  <c r="F39" i="16"/>
  <c r="D40" i="16"/>
  <c r="E40" i="16"/>
  <c r="D41" i="16"/>
  <c r="E41" i="16"/>
  <c r="F41" i="16"/>
  <c r="D42" i="16"/>
  <c r="E42" i="16"/>
  <c r="F42" i="16"/>
  <c r="D43" i="16"/>
  <c r="E43" i="16"/>
  <c r="F43" i="16"/>
  <c r="D44" i="16"/>
  <c r="E44" i="16"/>
  <c r="F44" i="16"/>
  <c r="D24" i="16"/>
  <c r="E24" i="16"/>
  <c r="F24" i="16"/>
  <c r="D25" i="16"/>
  <c r="E25" i="16"/>
  <c r="F25" i="16"/>
  <c r="D26" i="16"/>
  <c r="E26" i="16"/>
  <c r="F26" i="16"/>
  <c r="D27" i="16"/>
  <c r="E27" i="16"/>
  <c r="F27" i="16"/>
  <c r="D28" i="16"/>
  <c r="E28" i="16"/>
  <c r="F28" i="16"/>
  <c r="D29" i="16"/>
  <c r="E29" i="16"/>
  <c r="F29" i="16"/>
  <c r="D30" i="16"/>
  <c r="E30" i="16"/>
  <c r="F30" i="16"/>
  <c r="D31" i="16"/>
  <c r="E31" i="16"/>
  <c r="F31" i="16"/>
  <c r="D32" i="16"/>
  <c r="E32" i="16"/>
  <c r="F32" i="16"/>
  <c r="D33" i="16"/>
  <c r="E33" i="16"/>
  <c r="D34" i="16"/>
  <c r="E34" i="16"/>
  <c r="F34" i="16"/>
  <c r="D15" i="16"/>
  <c r="E15" i="16"/>
  <c r="F15" i="16"/>
  <c r="D16" i="16"/>
  <c r="E16" i="16"/>
  <c r="F16" i="16"/>
  <c r="G16" i="16"/>
  <c r="D17" i="16"/>
  <c r="E17" i="16"/>
  <c r="F17" i="16"/>
  <c r="G17" i="16"/>
  <c r="D18" i="16"/>
  <c r="E18" i="16"/>
  <c r="F18" i="16"/>
  <c r="G18" i="16"/>
  <c r="D19" i="16"/>
  <c r="E19" i="16"/>
  <c r="F19" i="16"/>
  <c r="G19" i="16"/>
  <c r="D20" i="16"/>
  <c r="D21" i="16"/>
  <c r="E21" i="16"/>
  <c r="F21" i="16"/>
  <c r="D22" i="16"/>
  <c r="E22" i="16"/>
  <c r="F22" i="16"/>
  <c r="I82" i="16" l="1"/>
  <c r="N82" i="16" s="1"/>
  <c r="H78" i="17"/>
  <c r="I78" i="17" s="1"/>
  <c r="I81" i="16"/>
  <c r="N81" i="16" s="1"/>
  <c r="H77" i="17"/>
  <c r="I77" i="17" s="1"/>
  <c r="I98" i="16"/>
  <c r="H94" i="17"/>
  <c r="I94" i="17" s="1"/>
  <c r="H2257" i="6"/>
  <c r="J2257" i="6" s="1"/>
  <c r="J2262" i="6" s="1"/>
  <c r="J2264" i="6" s="1"/>
  <c r="J2265" i="6" s="1"/>
  <c r="J2266" i="6" s="1"/>
  <c r="H72" i="16" s="1"/>
  <c r="O72" i="16" s="1"/>
  <c r="H2445" i="6"/>
  <c r="J2445" i="6" s="1"/>
  <c r="J2450" i="6" s="1"/>
  <c r="J2452" i="6" s="1"/>
  <c r="J2453" i="6" s="1"/>
  <c r="J2454" i="6" s="1"/>
  <c r="H77" i="16" s="1"/>
  <c r="O77" i="16" s="1"/>
  <c r="H2304" i="6"/>
  <c r="J2304" i="6" s="1"/>
  <c r="J2309" i="6" s="1"/>
  <c r="J2311" i="6" s="1"/>
  <c r="J2312" i="6" s="1"/>
  <c r="J2313" i="6" s="1"/>
  <c r="H73" i="16" s="1"/>
  <c r="O73" i="16" s="1"/>
  <c r="H2163" i="6"/>
  <c r="J2163" i="6" s="1"/>
  <c r="J2168" i="6" s="1"/>
  <c r="J2170" i="6" s="1"/>
  <c r="J2171" i="6" s="1"/>
  <c r="J2172" i="6" s="1"/>
  <c r="H70" i="16" s="1"/>
  <c r="O70" i="16" s="1"/>
  <c r="H2351" i="6"/>
  <c r="J2351" i="6" s="1"/>
  <c r="J2356" i="6" s="1"/>
  <c r="J2358" i="6" s="1"/>
  <c r="J2359" i="6" s="1"/>
  <c r="J2360" i="6" s="1"/>
  <c r="H74" i="16" s="1"/>
  <c r="O74" i="16" s="1"/>
  <c r="H2680" i="6"/>
  <c r="J2680" i="6" s="1"/>
  <c r="J2685" i="6" s="1"/>
  <c r="J2687" i="6" s="1"/>
  <c r="J2688" i="6" s="1"/>
  <c r="J2689" i="6" s="1"/>
  <c r="H83" i="16" s="1"/>
  <c r="O83" i="16" s="1"/>
  <c r="H2774" i="6"/>
  <c r="J2774" i="6" s="1"/>
  <c r="J2779" i="6" s="1"/>
  <c r="J2781" i="6" s="1"/>
  <c r="J2782" i="6" s="1"/>
  <c r="J2783" i="6" s="1"/>
  <c r="H87" i="16" s="1"/>
  <c r="O87" i="16" s="1"/>
  <c r="H3009" i="6"/>
  <c r="J3009" i="6" s="1"/>
  <c r="J3014" i="6" s="1"/>
  <c r="J3016" i="6" s="1"/>
  <c r="J3017" i="6" s="1"/>
  <c r="J3018" i="6" s="1"/>
  <c r="H95" i="16" s="1"/>
  <c r="O95" i="16" s="1"/>
  <c r="H3103" i="6"/>
  <c r="J3103" i="6" s="1"/>
  <c r="J3108" i="6" s="1"/>
  <c r="J3110" i="6" s="1"/>
  <c r="J3111" i="6" s="1"/>
  <c r="J3112" i="6" s="1"/>
  <c r="H99" i="16" s="1"/>
  <c r="O99" i="16" s="1"/>
  <c r="H2210" i="6"/>
  <c r="J2210" i="6" s="1"/>
  <c r="J2215" i="6" s="1"/>
  <c r="J2217" i="6" s="1"/>
  <c r="J2218" i="6" s="1"/>
  <c r="J2219" i="6" s="1"/>
  <c r="H71" i="16" s="1"/>
  <c r="O71" i="16" s="1"/>
  <c r="H2398" i="6"/>
  <c r="J2398" i="6" s="1"/>
  <c r="J2403" i="6" s="1"/>
  <c r="J2405" i="6" s="1"/>
  <c r="J2406" i="6" s="1"/>
  <c r="J2407" i="6" s="1"/>
  <c r="H76" i="16" s="1"/>
  <c r="O76" i="16" s="1"/>
  <c r="H2727" i="6"/>
  <c r="J2727" i="6" s="1"/>
  <c r="J2732" i="6" s="1"/>
  <c r="J2734" i="6" s="1"/>
  <c r="J2735" i="6" s="1"/>
  <c r="J2736" i="6" s="1"/>
  <c r="H86" i="16" s="1"/>
  <c r="O86" i="16" s="1"/>
  <c r="H2821" i="6"/>
  <c r="J2821" i="6" s="1"/>
  <c r="J2826" i="6" s="1"/>
  <c r="J2828" i="6" s="1"/>
  <c r="J2829" i="6" s="1"/>
  <c r="J2830" i="6" s="1"/>
  <c r="H88" i="16" s="1"/>
  <c r="O88" i="16" s="1"/>
  <c r="H2116" i="6"/>
  <c r="J2116" i="6" s="1"/>
  <c r="J2121" i="6" s="1"/>
  <c r="J2123" i="6" s="1"/>
  <c r="J2124" i="6" s="1"/>
  <c r="J2125" i="6" s="1"/>
  <c r="H69" i="16" s="1"/>
  <c r="O69" i="16" s="1"/>
  <c r="H2962" i="6"/>
  <c r="J2962" i="6" s="1"/>
  <c r="J2967" i="6" s="1"/>
  <c r="J2969" i="6" s="1"/>
  <c r="J2970" i="6" s="1"/>
  <c r="J2971" i="6" s="1"/>
  <c r="H94" i="16" s="1"/>
  <c r="O94" i="16" s="1"/>
  <c r="H2915" i="6"/>
  <c r="J2915" i="6" s="1"/>
  <c r="J2920" i="6" s="1"/>
  <c r="J2922" i="6" s="1"/>
  <c r="J2923" i="6" s="1"/>
  <c r="J2924" i="6" s="1"/>
  <c r="H93" i="16" s="1"/>
  <c r="O93" i="16" s="1"/>
  <c r="H2868" i="6"/>
  <c r="J2868" i="6" s="1"/>
  <c r="J2873" i="6" s="1"/>
  <c r="J2875" i="6" s="1"/>
  <c r="J2876" i="6" s="1"/>
  <c r="J2877" i="6" s="1"/>
  <c r="H92" i="16" s="1"/>
  <c r="O92" i="16" s="1"/>
  <c r="N98" i="16" l="1"/>
  <c r="I92" i="16"/>
  <c r="N92" i="16" s="1"/>
  <c r="H88" i="17"/>
  <c r="I88" i="17" s="1"/>
  <c r="I93" i="16"/>
  <c r="N93" i="16" s="1"/>
  <c r="H89" i="17"/>
  <c r="I89" i="17" s="1"/>
  <c r="I69" i="16"/>
  <c r="N69" i="16" s="1"/>
  <c r="H65" i="17"/>
  <c r="I65" i="17" s="1"/>
  <c r="I86" i="16"/>
  <c r="N86" i="16" s="1"/>
  <c r="H82" i="17"/>
  <c r="I82" i="17" s="1"/>
  <c r="I71" i="16"/>
  <c r="N71" i="16" s="1"/>
  <c r="H67" i="17"/>
  <c r="I67" i="17" s="1"/>
  <c r="I95" i="16"/>
  <c r="N95" i="16" s="1"/>
  <c r="H91" i="17"/>
  <c r="I91" i="17" s="1"/>
  <c r="I83" i="16"/>
  <c r="N83" i="16" s="1"/>
  <c r="H79" i="17"/>
  <c r="I79" i="17" s="1"/>
  <c r="I70" i="16"/>
  <c r="N70" i="16" s="1"/>
  <c r="H66" i="17"/>
  <c r="I66" i="17" s="1"/>
  <c r="I77" i="16"/>
  <c r="N77" i="16" s="1"/>
  <c r="H73" i="17"/>
  <c r="I73" i="17" s="1"/>
  <c r="I94" i="16"/>
  <c r="N94" i="16" s="1"/>
  <c r="H90" i="17"/>
  <c r="I90" i="17" s="1"/>
  <c r="I88" i="16"/>
  <c r="N88" i="16" s="1"/>
  <c r="H84" i="17"/>
  <c r="I84" i="17" s="1"/>
  <c r="I76" i="16"/>
  <c r="N76" i="16" s="1"/>
  <c r="H72" i="17"/>
  <c r="I72" i="17" s="1"/>
  <c r="I99" i="16"/>
  <c r="N99" i="16" s="1"/>
  <c r="H95" i="17"/>
  <c r="I95" i="17" s="1"/>
  <c r="I87" i="16"/>
  <c r="N87" i="16" s="1"/>
  <c r="H83" i="17"/>
  <c r="I83" i="17" s="1"/>
  <c r="I74" i="16"/>
  <c r="N74" i="16" s="1"/>
  <c r="H70" i="17"/>
  <c r="I70" i="17" s="1"/>
  <c r="I73" i="16"/>
  <c r="N73" i="16" s="1"/>
  <c r="H69" i="17"/>
  <c r="I69" i="17" s="1"/>
  <c r="I72" i="16"/>
  <c r="N72" i="16" s="1"/>
  <c r="H68" i="17"/>
  <c r="I68" i="17" s="1"/>
  <c r="J75" i="16"/>
  <c r="H2073" i="6"/>
  <c r="J2073" i="6" s="1"/>
  <c r="G2073" i="6"/>
  <c r="I2073" i="6" s="1"/>
  <c r="E2073" i="6"/>
  <c r="H2072" i="6"/>
  <c r="J2072" i="6" s="1"/>
  <c r="G2072" i="6"/>
  <c r="I2072" i="6" s="1"/>
  <c r="E2072" i="6"/>
  <c r="H2071" i="6"/>
  <c r="J2071" i="6" s="1"/>
  <c r="G2071" i="6"/>
  <c r="I2071" i="6" s="1"/>
  <c r="E2071" i="6"/>
  <c r="H2070" i="6"/>
  <c r="J2070" i="6" s="1"/>
  <c r="G2070" i="6"/>
  <c r="I2070" i="6" s="1"/>
  <c r="E2070" i="6"/>
  <c r="G2069" i="6"/>
  <c r="I2069" i="6" s="1"/>
  <c r="E2069" i="6"/>
  <c r="P2067" i="6"/>
  <c r="H2066" i="6"/>
  <c r="J2066" i="6" s="1"/>
  <c r="G2066" i="6"/>
  <c r="I2066" i="6" s="1"/>
  <c r="E2066" i="6"/>
  <c r="H2065" i="6"/>
  <c r="J2065" i="6" s="1"/>
  <c r="G2065" i="6"/>
  <c r="I2065" i="6" s="1"/>
  <c r="E2065" i="6"/>
  <c r="H2064" i="6"/>
  <c r="J2064" i="6" s="1"/>
  <c r="G2064" i="6"/>
  <c r="I2064" i="6" s="1"/>
  <c r="E2064" i="6"/>
  <c r="H2063" i="6"/>
  <c r="J2063" i="6" s="1"/>
  <c r="G2063" i="6"/>
  <c r="I2063" i="6" s="1"/>
  <c r="E2063" i="6"/>
  <c r="H2062" i="6"/>
  <c r="J2062" i="6" s="1"/>
  <c r="G2062" i="6"/>
  <c r="K2067" i="6" s="1"/>
  <c r="E2062" i="6"/>
  <c r="H2059" i="6"/>
  <c r="J2059" i="6" s="1"/>
  <c r="G2059" i="6"/>
  <c r="I2059" i="6" s="1"/>
  <c r="E2059" i="6"/>
  <c r="H2058" i="6"/>
  <c r="J2058" i="6" s="1"/>
  <c r="G2058" i="6"/>
  <c r="I2058" i="6" s="1"/>
  <c r="E2058" i="6"/>
  <c r="H2057" i="6"/>
  <c r="J2057" i="6" s="1"/>
  <c r="G2057" i="6"/>
  <c r="I2057" i="6" s="1"/>
  <c r="E2057" i="6"/>
  <c r="H2056" i="6"/>
  <c r="J2056" i="6" s="1"/>
  <c r="G2056" i="6"/>
  <c r="I2056" i="6" s="1"/>
  <c r="E2056" i="6"/>
  <c r="H2055" i="6"/>
  <c r="J2055" i="6" s="1"/>
  <c r="G2055" i="6"/>
  <c r="I2055" i="6" s="1"/>
  <c r="E2055" i="6"/>
  <c r="H2054" i="6"/>
  <c r="J2054" i="6" s="1"/>
  <c r="G2054" i="6"/>
  <c r="I2054" i="6" s="1"/>
  <c r="E2054" i="6"/>
  <c r="H2053" i="6"/>
  <c r="J2053" i="6" s="1"/>
  <c r="G2053" i="6"/>
  <c r="I2053" i="6" s="1"/>
  <c r="E2053" i="6"/>
  <c r="H2052" i="6"/>
  <c r="J2052" i="6" s="1"/>
  <c r="G2052" i="6"/>
  <c r="I2052" i="6" s="1"/>
  <c r="E2052" i="6"/>
  <c r="H2051" i="6"/>
  <c r="J2051" i="6" s="1"/>
  <c r="G2051" i="6"/>
  <c r="I2051" i="6" s="1"/>
  <c r="E2051" i="6"/>
  <c r="H2050" i="6"/>
  <c r="J2050" i="6" s="1"/>
  <c r="G2050" i="6"/>
  <c r="I2050" i="6" s="1"/>
  <c r="E2050" i="6"/>
  <c r="H2049" i="6"/>
  <c r="J2049" i="6" s="1"/>
  <c r="G2049" i="6"/>
  <c r="I2049" i="6" s="1"/>
  <c r="E2049" i="6"/>
  <c r="H2048" i="6"/>
  <c r="J2048" i="6" s="1"/>
  <c r="G2048" i="6"/>
  <c r="I2048" i="6" s="1"/>
  <c r="E2048" i="6"/>
  <c r="H2047" i="6"/>
  <c r="J2047" i="6" s="1"/>
  <c r="G2047" i="6"/>
  <c r="I2047" i="6" s="1"/>
  <c r="E2047" i="6"/>
  <c r="H2046" i="6"/>
  <c r="J2046" i="6" s="1"/>
  <c r="G2046" i="6"/>
  <c r="I2046" i="6" s="1"/>
  <c r="E2046" i="6"/>
  <c r="H2045" i="6"/>
  <c r="J2045" i="6" s="1"/>
  <c r="G2045" i="6"/>
  <c r="I2045" i="6" s="1"/>
  <c r="E2045" i="6"/>
  <c r="H2044" i="6"/>
  <c r="J2044" i="6" s="1"/>
  <c r="G2044" i="6"/>
  <c r="I2044" i="6" s="1"/>
  <c r="E2044" i="6"/>
  <c r="H2043" i="6"/>
  <c r="J2043" i="6" s="1"/>
  <c r="G2043" i="6"/>
  <c r="I2043" i="6" s="1"/>
  <c r="E2043" i="6"/>
  <c r="H2042" i="6"/>
  <c r="J2042" i="6" s="1"/>
  <c r="G2042" i="6"/>
  <c r="I2042" i="6" s="1"/>
  <c r="E2042" i="6"/>
  <c r="H2041" i="6"/>
  <c r="J2041" i="6" s="1"/>
  <c r="G2041" i="6"/>
  <c r="I2041" i="6" s="1"/>
  <c r="E2041" i="6"/>
  <c r="H2040" i="6"/>
  <c r="J2040" i="6" s="1"/>
  <c r="G2040" i="6"/>
  <c r="I2040" i="6" s="1"/>
  <c r="E2040" i="6"/>
  <c r="F2037" i="6"/>
  <c r="K2078" i="6" s="1"/>
  <c r="G2036" i="6"/>
  <c r="F2036" i="6"/>
  <c r="G2035" i="6"/>
  <c r="F2035" i="6"/>
  <c r="G2034" i="6"/>
  <c r="F2034" i="6"/>
  <c r="H2026" i="6"/>
  <c r="J2026" i="6" s="1"/>
  <c r="G2026" i="6"/>
  <c r="I2026" i="6" s="1"/>
  <c r="E2026" i="6"/>
  <c r="H2025" i="6"/>
  <c r="J2025" i="6" s="1"/>
  <c r="G2025" i="6"/>
  <c r="I2025" i="6" s="1"/>
  <c r="E2025" i="6"/>
  <c r="H2024" i="6"/>
  <c r="J2024" i="6" s="1"/>
  <c r="G2024" i="6"/>
  <c r="I2024" i="6" s="1"/>
  <c r="E2024" i="6"/>
  <c r="H2023" i="6"/>
  <c r="J2023" i="6" s="1"/>
  <c r="G2023" i="6"/>
  <c r="I2023" i="6" s="1"/>
  <c r="E2023" i="6"/>
  <c r="G2022" i="6"/>
  <c r="I2022" i="6" s="1"/>
  <c r="E2022" i="6"/>
  <c r="P2020" i="6"/>
  <c r="R2020" i="6" s="1"/>
  <c r="H2019" i="6"/>
  <c r="J2019" i="6" s="1"/>
  <c r="G2019" i="6"/>
  <c r="I2019" i="6" s="1"/>
  <c r="E2019" i="6"/>
  <c r="H2018" i="6"/>
  <c r="J2018" i="6" s="1"/>
  <c r="G2018" i="6"/>
  <c r="I2018" i="6" s="1"/>
  <c r="E2018" i="6"/>
  <c r="H2017" i="6"/>
  <c r="J2017" i="6" s="1"/>
  <c r="G2017" i="6"/>
  <c r="I2017" i="6" s="1"/>
  <c r="E2017" i="6"/>
  <c r="H2016" i="6"/>
  <c r="J2016" i="6" s="1"/>
  <c r="G2016" i="6"/>
  <c r="I2016" i="6" s="1"/>
  <c r="E2016" i="6"/>
  <c r="H2015" i="6"/>
  <c r="J2015" i="6" s="1"/>
  <c r="G2015" i="6"/>
  <c r="K2020" i="6" s="1"/>
  <c r="E2015" i="6"/>
  <c r="H2012" i="6"/>
  <c r="J2012" i="6" s="1"/>
  <c r="G2012" i="6"/>
  <c r="I2012" i="6" s="1"/>
  <c r="E2012" i="6"/>
  <c r="H2011" i="6"/>
  <c r="J2011" i="6" s="1"/>
  <c r="G2011" i="6"/>
  <c r="I2011" i="6" s="1"/>
  <c r="E2011" i="6"/>
  <c r="H2010" i="6"/>
  <c r="J2010" i="6" s="1"/>
  <c r="G2010" i="6"/>
  <c r="I2010" i="6" s="1"/>
  <c r="E2010" i="6"/>
  <c r="H2009" i="6"/>
  <c r="J2009" i="6" s="1"/>
  <c r="G2009" i="6"/>
  <c r="I2009" i="6" s="1"/>
  <c r="E2009" i="6"/>
  <c r="H2008" i="6"/>
  <c r="J2008" i="6" s="1"/>
  <c r="G2008" i="6"/>
  <c r="I2008" i="6" s="1"/>
  <c r="E2008" i="6"/>
  <c r="H2007" i="6"/>
  <c r="J2007" i="6" s="1"/>
  <c r="G2007" i="6"/>
  <c r="I2007" i="6" s="1"/>
  <c r="E2007" i="6"/>
  <c r="H2006" i="6"/>
  <c r="J2006" i="6" s="1"/>
  <c r="G2006" i="6"/>
  <c r="I2006" i="6" s="1"/>
  <c r="E2006" i="6"/>
  <c r="H2005" i="6"/>
  <c r="J2005" i="6" s="1"/>
  <c r="G2005" i="6"/>
  <c r="I2005" i="6" s="1"/>
  <c r="E2005" i="6"/>
  <c r="H2004" i="6"/>
  <c r="J2004" i="6" s="1"/>
  <c r="G2004" i="6"/>
  <c r="I2004" i="6" s="1"/>
  <c r="E2004" i="6"/>
  <c r="H2003" i="6"/>
  <c r="J2003" i="6" s="1"/>
  <c r="G2003" i="6"/>
  <c r="I2003" i="6" s="1"/>
  <c r="E2003" i="6"/>
  <c r="H2002" i="6"/>
  <c r="J2002" i="6" s="1"/>
  <c r="G2002" i="6"/>
  <c r="I2002" i="6" s="1"/>
  <c r="E2002" i="6"/>
  <c r="H2001" i="6"/>
  <c r="J2001" i="6" s="1"/>
  <c r="G2001" i="6"/>
  <c r="I2001" i="6" s="1"/>
  <c r="E2001" i="6"/>
  <c r="H2000" i="6"/>
  <c r="J2000" i="6" s="1"/>
  <c r="G2000" i="6"/>
  <c r="I2000" i="6" s="1"/>
  <c r="E2000" i="6"/>
  <c r="H1999" i="6"/>
  <c r="J1999" i="6" s="1"/>
  <c r="G1999" i="6"/>
  <c r="I1999" i="6" s="1"/>
  <c r="E1999" i="6"/>
  <c r="H1998" i="6"/>
  <c r="J1998" i="6" s="1"/>
  <c r="G1998" i="6"/>
  <c r="I1998" i="6" s="1"/>
  <c r="E1998" i="6"/>
  <c r="H1997" i="6"/>
  <c r="J1997" i="6" s="1"/>
  <c r="G1997" i="6"/>
  <c r="I1997" i="6" s="1"/>
  <c r="E1997" i="6"/>
  <c r="H1996" i="6"/>
  <c r="J1996" i="6" s="1"/>
  <c r="G1996" i="6"/>
  <c r="I1996" i="6" s="1"/>
  <c r="E1996" i="6"/>
  <c r="H1995" i="6"/>
  <c r="J1995" i="6" s="1"/>
  <c r="G1995" i="6"/>
  <c r="I1995" i="6" s="1"/>
  <c r="E1995" i="6"/>
  <c r="H1994" i="6"/>
  <c r="J1994" i="6" s="1"/>
  <c r="G1994" i="6"/>
  <c r="I1994" i="6" s="1"/>
  <c r="E1994" i="6"/>
  <c r="H1993" i="6"/>
  <c r="J1993" i="6" s="1"/>
  <c r="G1993" i="6"/>
  <c r="I1993" i="6" s="1"/>
  <c r="E1993" i="6"/>
  <c r="F1990" i="6"/>
  <c r="K2031" i="6" s="1"/>
  <c r="G1989" i="6"/>
  <c r="F1989" i="6"/>
  <c r="G1988" i="6"/>
  <c r="F1988" i="6"/>
  <c r="G1987" i="6"/>
  <c r="F1987" i="6"/>
  <c r="H1979" i="6"/>
  <c r="J1979" i="6" s="1"/>
  <c r="G1979" i="6"/>
  <c r="I1979" i="6" s="1"/>
  <c r="E1979" i="6"/>
  <c r="H1978" i="6"/>
  <c r="J1978" i="6" s="1"/>
  <c r="G1978" i="6"/>
  <c r="I1978" i="6" s="1"/>
  <c r="E1978" i="6"/>
  <c r="H1977" i="6"/>
  <c r="J1977" i="6" s="1"/>
  <c r="G1977" i="6"/>
  <c r="I1977" i="6" s="1"/>
  <c r="E1977" i="6"/>
  <c r="H1976" i="6"/>
  <c r="J1976" i="6" s="1"/>
  <c r="G1976" i="6"/>
  <c r="I1976" i="6" s="1"/>
  <c r="E1976" i="6"/>
  <c r="G1975" i="6"/>
  <c r="I1975" i="6" s="1"/>
  <c r="E1975" i="6"/>
  <c r="P1973" i="6"/>
  <c r="R1973" i="6" s="1"/>
  <c r="H1972" i="6"/>
  <c r="J1972" i="6" s="1"/>
  <c r="G1972" i="6"/>
  <c r="I1972" i="6" s="1"/>
  <c r="E1972" i="6"/>
  <c r="H1971" i="6"/>
  <c r="J1971" i="6" s="1"/>
  <c r="G1971" i="6"/>
  <c r="I1971" i="6" s="1"/>
  <c r="E1971" i="6"/>
  <c r="H1970" i="6"/>
  <c r="J1970" i="6" s="1"/>
  <c r="G1970" i="6"/>
  <c r="I1970" i="6" s="1"/>
  <c r="E1970" i="6"/>
  <c r="H1969" i="6"/>
  <c r="J1969" i="6" s="1"/>
  <c r="G1969" i="6"/>
  <c r="I1969" i="6" s="1"/>
  <c r="E1969" i="6"/>
  <c r="H1968" i="6"/>
  <c r="J1968" i="6" s="1"/>
  <c r="G1968" i="6"/>
  <c r="K1973" i="6" s="1"/>
  <c r="E1968" i="6"/>
  <c r="H1965" i="6"/>
  <c r="J1965" i="6" s="1"/>
  <c r="G1965" i="6"/>
  <c r="I1965" i="6" s="1"/>
  <c r="E1965" i="6"/>
  <c r="H1964" i="6"/>
  <c r="J1964" i="6" s="1"/>
  <c r="G1964" i="6"/>
  <c r="I1964" i="6" s="1"/>
  <c r="E1964" i="6"/>
  <c r="H1963" i="6"/>
  <c r="J1963" i="6" s="1"/>
  <c r="G1963" i="6"/>
  <c r="I1963" i="6" s="1"/>
  <c r="E1963" i="6"/>
  <c r="H1962" i="6"/>
  <c r="J1962" i="6" s="1"/>
  <c r="G1962" i="6"/>
  <c r="I1962" i="6" s="1"/>
  <c r="E1962" i="6"/>
  <c r="H1961" i="6"/>
  <c r="J1961" i="6" s="1"/>
  <c r="G1961" i="6"/>
  <c r="I1961" i="6" s="1"/>
  <c r="E1961" i="6"/>
  <c r="H1960" i="6"/>
  <c r="J1960" i="6" s="1"/>
  <c r="G1960" i="6"/>
  <c r="I1960" i="6" s="1"/>
  <c r="E1960" i="6"/>
  <c r="H1959" i="6"/>
  <c r="J1959" i="6" s="1"/>
  <c r="G1959" i="6"/>
  <c r="I1959" i="6" s="1"/>
  <c r="E1959" i="6"/>
  <c r="H1958" i="6"/>
  <c r="J1958" i="6" s="1"/>
  <c r="G1958" i="6"/>
  <c r="I1958" i="6" s="1"/>
  <c r="E1958" i="6"/>
  <c r="H1957" i="6"/>
  <c r="J1957" i="6" s="1"/>
  <c r="G1957" i="6"/>
  <c r="I1957" i="6" s="1"/>
  <c r="E1957" i="6"/>
  <c r="H1956" i="6"/>
  <c r="J1956" i="6" s="1"/>
  <c r="G1956" i="6"/>
  <c r="I1956" i="6" s="1"/>
  <c r="E1956" i="6"/>
  <c r="H1955" i="6"/>
  <c r="J1955" i="6" s="1"/>
  <c r="G1955" i="6"/>
  <c r="I1955" i="6" s="1"/>
  <c r="E1955" i="6"/>
  <c r="H1954" i="6"/>
  <c r="J1954" i="6" s="1"/>
  <c r="G1954" i="6"/>
  <c r="I1954" i="6" s="1"/>
  <c r="E1954" i="6"/>
  <c r="H1953" i="6"/>
  <c r="J1953" i="6" s="1"/>
  <c r="G1953" i="6"/>
  <c r="I1953" i="6" s="1"/>
  <c r="E1953" i="6"/>
  <c r="H1952" i="6"/>
  <c r="J1952" i="6" s="1"/>
  <c r="G1952" i="6"/>
  <c r="I1952" i="6" s="1"/>
  <c r="E1952" i="6"/>
  <c r="H1951" i="6"/>
  <c r="J1951" i="6" s="1"/>
  <c r="G1951" i="6"/>
  <c r="I1951" i="6" s="1"/>
  <c r="E1951" i="6"/>
  <c r="H1950" i="6"/>
  <c r="J1950" i="6" s="1"/>
  <c r="G1950" i="6"/>
  <c r="I1950" i="6" s="1"/>
  <c r="E1950" i="6"/>
  <c r="H1949" i="6"/>
  <c r="J1949" i="6" s="1"/>
  <c r="G1949" i="6"/>
  <c r="I1949" i="6" s="1"/>
  <c r="E1949" i="6"/>
  <c r="H1948" i="6"/>
  <c r="J1948" i="6" s="1"/>
  <c r="G1948" i="6"/>
  <c r="I1948" i="6" s="1"/>
  <c r="E1948" i="6"/>
  <c r="H1947" i="6"/>
  <c r="J1947" i="6" s="1"/>
  <c r="G1947" i="6"/>
  <c r="I1947" i="6" s="1"/>
  <c r="E1947" i="6"/>
  <c r="H1946" i="6"/>
  <c r="J1946" i="6" s="1"/>
  <c r="G1946" i="6"/>
  <c r="I1946" i="6" s="1"/>
  <c r="E1946" i="6"/>
  <c r="F1943" i="6"/>
  <c r="K1984" i="6" s="1"/>
  <c r="G1942" i="6"/>
  <c r="F1942" i="6"/>
  <c r="G1941" i="6"/>
  <c r="F1941" i="6"/>
  <c r="G1940" i="6"/>
  <c r="F1940" i="6"/>
  <c r="H1932" i="6"/>
  <c r="J1932" i="6" s="1"/>
  <c r="G1932" i="6"/>
  <c r="I1932" i="6" s="1"/>
  <c r="E1932" i="6"/>
  <c r="H1931" i="6"/>
  <c r="J1931" i="6" s="1"/>
  <c r="G1931" i="6"/>
  <c r="I1931" i="6" s="1"/>
  <c r="E1931" i="6"/>
  <c r="H1930" i="6"/>
  <c r="J1930" i="6" s="1"/>
  <c r="G1930" i="6"/>
  <c r="I1930" i="6" s="1"/>
  <c r="E1930" i="6"/>
  <c r="H1929" i="6"/>
  <c r="J1929" i="6" s="1"/>
  <c r="G1929" i="6"/>
  <c r="I1929" i="6" s="1"/>
  <c r="E1929" i="6"/>
  <c r="G1928" i="6"/>
  <c r="I1928" i="6" s="1"/>
  <c r="E1928" i="6"/>
  <c r="P1926" i="6"/>
  <c r="R1926" i="6" s="1"/>
  <c r="H1925" i="6"/>
  <c r="J1925" i="6" s="1"/>
  <c r="G1925" i="6"/>
  <c r="I1925" i="6" s="1"/>
  <c r="E1925" i="6"/>
  <c r="H1924" i="6"/>
  <c r="J1924" i="6" s="1"/>
  <c r="G1924" i="6"/>
  <c r="I1924" i="6" s="1"/>
  <c r="E1924" i="6"/>
  <c r="H1923" i="6"/>
  <c r="J1923" i="6" s="1"/>
  <c r="G1923" i="6"/>
  <c r="I1923" i="6" s="1"/>
  <c r="E1923" i="6"/>
  <c r="H1922" i="6"/>
  <c r="J1922" i="6" s="1"/>
  <c r="G1922" i="6"/>
  <c r="I1922" i="6" s="1"/>
  <c r="E1922" i="6"/>
  <c r="H1921" i="6"/>
  <c r="J1921" i="6" s="1"/>
  <c r="G1921" i="6"/>
  <c r="K1926" i="6" s="1"/>
  <c r="E1921" i="6"/>
  <c r="H1918" i="6"/>
  <c r="J1918" i="6" s="1"/>
  <c r="G1918" i="6"/>
  <c r="I1918" i="6" s="1"/>
  <c r="E1918" i="6"/>
  <c r="H1917" i="6"/>
  <c r="J1917" i="6" s="1"/>
  <c r="G1917" i="6"/>
  <c r="I1917" i="6" s="1"/>
  <c r="E1917" i="6"/>
  <c r="H1916" i="6"/>
  <c r="J1916" i="6" s="1"/>
  <c r="G1916" i="6"/>
  <c r="I1916" i="6" s="1"/>
  <c r="E1916" i="6"/>
  <c r="H1915" i="6"/>
  <c r="J1915" i="6" s="1"/>
  <c r="G1915" i="6"/>
  <c r="I1915" i="6" s="1"/>
  <c r="E1915" i="6"/>
  <c r="H1914" i="6"/>
  <c r="J1914" i="6" s="1"/>
  <c r="G1914" i="6"/>
  <c r="I1914" i="6" s="1"/>
  <c r="E1914" i="6"/>
  <c r="H1913" i="6"/>
  <c r="J1913" i="6" s="1"/>
  <c r="G1913" i="6"/>
  <c r="I1913" i="6" s="1"/>
  <c r="E1913" i="6"/>
  <c r="H1912" i="6"/>
  <c r="J1912" i="6" s="1"/>
  <c r="G1912" i="6"/>
  <c r="I1912" i="6" s="1"/>
  <c r="E1912" i="6"/>
  <c r="H1911" i="6"/>
  <c r="J1911" i="6" s="1"/>
  <c r="G1911" i="6"/>
  <c r="I1911" i="6" s="1"/>
  <c r="E1911" i="6"/>
  <c r="H1910" i="6"/>
  <c r="J1910" i="6" s="1"/>
  <c r="G1910" i="6"/>
  <c r="I1910" i="6" s="1"/>
  <c r="E1910" i="6"/>
  <c r="H1909" i="6"/>
  <c r="J1909" i="6" s="1"/>
  <c r="G1909" i="6"/>
  <c r="I1909" i="6" s="1"/>
  <c r="E1909" i="6"/>
  <c r="H1908" i="6"/>
  <c r="J1908" i="6" s="1"/>
  <c r="G1908" i="6"/>
  <c r="I1908" i="6" s="1"/>
  <c r="E1908" i="6"/>
  <c r="H1907" i="6"/>
  <c r="J1907" i="6" s="1"/>
  <c r="G1907" i="6"/>
  <c r="I1907" i="6" s="1"/>
  <c r="E1907" i="6"/>
  <c r="H1906" i="6"/>
  <c r="J1906" i="6" s="1"/>
  <c r="G1906" i="6"/>
  <c r="I1906" i="6" s="1"/>
  <c r="E1906" i="6"/>
  <c r="H1905" i="6"/>
  <c r="J1905" i="6" s="1"/>
  <c r="G1905" i="6"/>
  <c r="I1905" i="6" s="1"/>
  <c r="E1905" i="6"/>
  <c r="H1904" i="6"/>
  <c r="J1904" i="6" s="1"/>
  <c r="G1904" i="6"/>
  <c r="I1904" i="6" s="1"/>
  <c r="E1904" i="6"/>
  <c r="H1903" i="6"/>
  <c r="J1903" i="6" s="1"/>
  <c r="G1903" i="6"/>
  <c r="I1903" i="6" s="1"/>
  <c r="E1903" i="6"/>
  <c r="H1902" i="6"/>
  <c r="J1902" i="6" s="1"/>
  <c r="G1902" i="6"/>
  <c r="I1902" i="6" s="1"/>
  <c r="E1902" i="6"/>
  <c r="H1901" i="6"/>
  <c r="J1901" i="6" s="1"/>
  <c r="G1901" i="6"/>
  <c r="I1901" i="6" s="1"/>
  <c r="E1901" i="6"/>
  <c r="H1900" i="6"/>
  <c r="J1900" i="6" s="1"/>
  <c r="G1900" i="6"/>
  <c r="I1900" i="6" s="1"/>
  <c r="E1900" i="6"/>
  <c r="H1899" i="6"/>
  <c r="J1899" i="6" s="1"/>
  <c r="G1899" i="6"/>
  <c r="I1899" i="6" s="1"/>
  <c r="E1899" i="6"/>
  <c r="F1896" i="6"/>
  <c r="K1937" i="6" s="1"/>
  <c r="G1895" i="6"/>
  <c r="F1895" i="6"/>
  <c r="G1894" i="6"/>
  <c r="F1894" i="6"/>
  <c r="G1893" i="6"/>
  <c r="F1893" i="6"/>
  <c r="H1885" i="6"/>
  <c r="J1885" i="6" s="1"/>
  <c r="G1885" i="6"/>
  <c r="I1885" i="6" s="1"/>
  <c r="E1885" i="6"/>
  <c r="H1884" i="6"/>
  <c r="J1884" i="6" s="1"/>
  <c r="G1884" i="6"/>
  <c r="I1884" i="6" s="1"/>
  <c r="E1884" i="6"/>
  <c r="H1883" i="6"/>
  <c r="J1883" i="6" s="1"/>
  <c r="G1883" i="6"/>
  <c r="I1883" i="6" s="1"/>
  <c r="E1883" i="6"/>
  <c r="H1882" i="6"/>
  <c r="J1882" i="6" s="1"/>
  <c r="G1882" i="6"/>
  <c r="I1882" i="6" s="1"/>
  <c r="E1882" i="6"/>
  <c r="G1881" i="6"/>
  <c r="I1881" i="6" s="1"/>
  <c r="E1881" i="6"/>
  <c r="P1879" i="6"/>
  <c r="R1879" i="6" s="1"/>
  <c r="H1878" i="6"/>
  <c r="J1878" i="6" s="1"/>
  <c r="G1878" i="6"/>
  <c r="I1878" i="6" s="1"/>
  <c r="E1878" i="6"/>
  <c r="H1877" i="6"/>
  <c r="J1877" i="6" s="1"/>
  <c r="G1877" i="6"/>
  <c r="I1877" i="6" s="1"/>
  <c r="E1877" i="6"/>
  <c r="H1876" i="6"/>
  <c r="J1876" i="6" s="1"/>
  <c r="G1876" i="6"/>
  <c r="I1876" i="6" s="1"/>
  <c r="E1876" i="6"/>
  <c r="H1875" i="6"/>
  <c r="J1875" i="6" s="1"/>
  <c r="G1875" i="6"/>
  <c r="I1875" i="6" s="1"/>
  <c r="E1875" i="6"/>
  <c r="H1874" i="6"/>
  <c r="J1874" i="6" s="1"/>
  <c r="G1874" i="6"/>
  <c r="K1879" i="6" s="1"/>
  <c r="E1874" i="6"/>
  <c r="H1871" i="6"/>
  <c r="J1871" i="6" s="1"/>
  <c r="G1871" i="6"/>
  <c r="I1871" i="6" s="1"/>
  <c r="E1871" i="6"/>
  <c r="H1870" i="6"/>
  <c r="J1870" i="6" s="1"/>
  <c r="G1870" i="6"/>
  <c r="I1870" i="6" s="1"/>
  <c r="E1870" i="6"/>
  <c r="H1869" i="6"/>
  <c r="J1869" i="6" s="1"/>
  <c r="G1869" i="6"/>
  <c r="I1869" i="6" s="1"/>
  <c r="E1869" i="6"/>
  <c r="H1868" i="6"/>
  <c r="J1868" i="6" s="1"/>
  <c r="G1868" i="6"/>
  <c r="I1868" i="6" s="1"/>
  <c r="E1868" i="6"/>
  <c r="H1867" i="6"/>
  <c r="J1867" i="6" s="1"/>
  <c r="G1867" i="6"/>
  <c r="I1867" i="6" s="1"/>
  <c r="E1867" i="6"/>
  <c r="H1866" i="6"/>
  <c r="J1866" i="6" s="1"/>
  <c r="G1866" i="6"/>
  <c r="I1866" i="6" s="1"/>
  <c r="E1866" i="6"/>
  <c r="H1865" i="6"/>
  <c r="J1865" i="6" s="1"/>
  <c r="G1865" i="6"/>
  <c r="I1865" i="6" s="1"/>
  <c r="E1865" i="6"/>
  <c r="H1864" i="6"/>
  <c r="J1864" i="6" s="1"/>
  <c r="G1864" i="6"/>
  <c r="I1864" i="6" s="1"/>
  <c r="E1864" i="6"/>
  <c r="H1863" i="6"/>
  <c r="J1863" i="6" s="1"/>
  <c r="G1863" i="6"/>
  <c r="I1863" i="6" s="1"/>
  <c r="E1863" i="6"/>
  <c r="H1862" i="6"/>
  <c r="J1862" i="6" s="1"/>
  <c r="G1862" i="6"/>
  <c r="I1862" i="6" s="1"/>
  <c r="E1862" i="6"/>
  <c r="H1861" i="6"/>
  <c r="J1861" i="6" s="1"/>
  <c r="G1861" i="6"/>
  <c r="I1861" i="6" s="1"/>
  <c r="E1861" i="6"/>
  <c r="H1860" i="6"/>
  <c r="J1860" i="6" s="1"/>
  <c r="G1860" i="6"/>
  <c r="I1860" i="6" s="1"/>
  <c r="E1860" i="6"/>
  <c r="H1859" i="6"/>
  <c r="J1859" i="6" s="1"/>
  <c r="G1859" i="6"/>
  <c r="I1859" i="6" s="1"/>
  <c r="E1859" i="6"/>
  <c r="H1858" i="6"/>
  <c r="J1858" i="6" s="1"/>
  <c r="G1858" i="6"/>
  <c r="I1858" i="6" s="1"/>
  <c r="E1858" i="6"/>
  <c r="H1857" i="6"/>
  <c r="J1857" i="6" s="1"/>
  <c r="G1857" i="6"/>
  <c r="I1857" i="6" s="1"/>
  <c r="E1857" i="6"/>
  <c r="H1856" i="6"/>
  <c r="J1856" i="6" s="1"/>
  <c r="G1856" i="6"/>
  <c r="I1856" i="6" s="1"/>
  <c r="E1856" i="6"/>
  <c r="H1855" i="6"/>
  <c r="J1855" i="6" s="1"/>
  <c r="G1855" i="6"/>
  <c r="I1855" i="6" s="1"/>
  <c r="E1855" i="6"/>
  <c r="H1854" i="6"/>
  <c r="J1854" i="6" s="1"/>
  <c r="G1854" i="6"/>
  <c r="I1854" i="6" s="1"/>
  <c r="E1854" i="6"/>
  <c r="H1853" i="6"/>
  <c r="J1853" i="6" s="1"/>
  <c r="G1853" i="6"/>
  <c r="I1853" i="6" s="1"/>
  <c r="E1853" i="6"/>
  <c r="H1852" i="6"/>
  <c r="J1852" i="6" s="1"/>
  <c r="G1852" i="6"/>
  <c r="I1852" i="6" s="1"/>
  <c r="E1852" i="6"/>
  <c r="F1849" i="6"/>
  <c r="K1890" i="6" s="1"/>
  <c r="G1848" i="6"/>
  <c r="F1848" i="6"/>
  <c r="G1847" i="6"/>
  <c r="F1847" i="6"/>
  <c r="G1846" i="6"/>
  <c r="F1846" i="6"/>
  <c r="H1838" i="6"/>
  <c r="J1838" i="6" s="1"/>
  <c r="G1838" i="6"/>
  <c r="I1838" i="6" s="1"/>
  <c r="E1838" i="6"/>
  <c r="H1837" i="6"/>
  <c r="J1837" i="6" s="1"/>
  <c r="G1837" i="6"/>
  <c r="I1837" i="6" s="1"/>
  <c r="E1837" i="6"/>
  <c r="H1836" i="6"/>
  <c r="J1836" i="6" s="1"/>
  <c r="G1836" i="6"/>
  <c r="I1836" i="6" s="1"/>
  <c r="E1836" i="6"/>
  <c r="H1835" i="6"/>
  <c r="J1835" i="6" s="1"/>
  <c r="G1835" i="6"/>
  <c r="I1835" i="6" s="1"/>
  <c r="E1835" i="6"/>
  <c r="G1834" i="6"/>
  <c r="I1834" i="6" s="1"/>
  <c r="E1834" i="6"/>
  <c r="P1832" i="6"/>
  <c r="H1831" i="6"/>
  <c r="J1831" i="6" s="1"/>
  <c r="G1831" i="6"/>
  <c r="I1831" i="6" s="1"/>
  <c r="E1831" i="6"/>
  <c r="H1830" i="6"/>
  <c r="J1830" i="6" s="1"/>
  <c r="G1830" i="6"/>
  <c r="I1830" i="6" s="1"/>
  <c r="E1830" i="6"/>
  <c r="H1829" i="6"/>
  <c r="J1829" i="6" s="1"/>
  <c r="G1829" i="6"/>
  <c r="I1829" i="6" s="1"/>
  <c r="E1829" i="6"/>
  <c r="H1828" i="6"/>
  <c r="J1828" i="6" s="1"/>
  <c r="G1828" i="6"/>
  <c r="I1828" i="6" s="1"/>
  <c r="E1828" i="6"/>
  <c r="H1827" i="6"/>
  <c r="J1827" i="6" s="1"/>
  <c r="G1827" i="6"/>
  <c r="K1832" i="6" s="1"/>
  <c r="E1827" i="6"/>
  <c r="H1824" i="6"/>
  <c r="J1824" i="6" s="1"/>
  <c r="G1824" i="6"/>
  <c r="I1824" i="6" s="1"/>
  <c r="E1824" i="6"/>
  <c r="H1823" i="6"/>
  <c r="J1823" i="6" s="1"/>
  <c r="G1823" i="6"/>
  <c r="I1823" i="6" s="1"/>
  <c r="E1823" i="6"/>
  <c r="H1822" i="6"/>
  <c r="J1822" i="6" s="1"/>
  <c r="G1822" i="6"/>
  <c r="I1822" i="6" s="1"/>
  <c r="E1822" i="6"/>
  <c r="H1821" i="6"/>
  <c r="J1821" i="6" s="1"/>
  <c r="G1821" i="6"/>
  <c r="I1821" i="6" s="1"/>
  <c r="E1821" i="6"/>
  <c r="H1820" i="6"/>
  <c r="J1820" i="6" s="1"/>
  <c r="G1820" i="6"/>
  <c r="I1820" i="6" s="1"/>
  <c r="E1820" i="6"/>
  <c r="H1819" i="6"/>
  <c r="J1819" i="6" s="1"/>
  <c r="G1819" i="6"/>
  <c r="I1819" i="6" s="1"/>
  <c r="E1819" i="6"/>
  <c r="H1818" i="6"/>
  <c r="J1818" i="6" s="1"/>
  <c r="G1818" i="6"/>
  <c r="I1818" i="6" s="1"/>
  <c r="E1818" i="6"/>
  <c r="H1817" i="6"/>
  <c r="J1817" i="6" s="1"/>
  <c r="G1817" i="6"/>
  <c r="I1817" i="6" s="1"/>
  <c r="E1817" i="6"/>
  <c r="H1816" i="6"/>
  <c r="J1816" i="6" s="1"/>
  <c r="G1816" i="6"/>
  <c r="I1816" i="6" s="1"/>
  <c r="E1816" i="6"/>
  <c r="H1815" i="6"/>
  <c r="J1815" i="6" s="1"/>
  <c r="G1815" i="6"/>
  <c r="I1815" i="6" s="1"/>
  <c r="E1815" i="6"/>
  <c r="H1814" i="6"/>
  <c r="J1814" i="6" s="1"/>
  <c r="G1814" i="6"/>
  <c r="I1814" i="6" s="1"/>
  <c r="E1814" i="6"/>
  <c r="H1813" i="6"/>
  <c r="J1813" i="6" s="1"/>
  <c r="G1813" i="6"/>
  <c r="I1813" i="6" s="1"/>
  <c r="E1813" i="6"/>
  <c r="H1812" i="6"/>
  <c r="J1812" i="6" s="1"/>
  <c r="G1812" i="6"/>
  <c r="I1812" i="6" s="1"/>
  <c r="E1812" i="6"/>
  <c r="H1811" i="6"/>
  <c r="J1811" i="6" s="1"/>
  <c r="G1811" i="6"/>
  <c r="I1811" i="6" s="1"/>
  <c r="E1811" i="6"/>
  <c r="H1810" i="6"/>
  <c r="J1810" i="6" s="1"/>
  <c r="G1810" i="6"/>
  <c r="I1810" i="6" s="1"/>
  <c r="E1810" i="6"/>
  <c r="H1809" i="6"/>
  <c r="J1809" i="6" s="1"/>
  <c r="G1809" i="6"/>
  <c r="I1809" i="6" s="1"/>
  <c r="E1809" i="6"/>
  <c r="H1808" i="6"/>
  <c r="J1808" i="6" s="1"/>
  <c r="G1808" i="6"/>
  <c r="I1808" i="6" s="1"/>
  <c r="E1808" i="6"/>
  <c r="H1807" i="6"/>
  <c r="J1807" i="6" s="1"/>
  <c r="G1807" i="6"/>
  <c r="I1807" i="6" s="1"/>
  <c r="E1807" i="6"/>
  <c r="H1806" i="6"/>
  <c r="J1806" i="6" s="1"/>
  <c r="G1806" i="6"/>
  <c r="I1806" i="6" s="1"/>
  <c r="E1806" i="6"/>
  <c r="H1805" i="6"/>
  <c r="J1805" i="6" s="1"/>
  <c r="G1805" i="6"/>
  <c r="I1805" i="6" s="1"/>
  <c r="E1805" i="6"/>
  <c r="F1802" i="6"/>
  <c r="K1843" i="6" s="1"/>
  <c r="G1801" i="6"/>
  <c r="F1801" i="6"/>
  <c r="G1800" i="6"/>
  <c r="F1800" i="6"/>
  <c r="G1799" i="6"/>
  <c r="F1799" i="6"/>
  <c r="H1791" i="6"/>
  <c r="J1791" i="6" s="1"/>
  <c r="G1791" i="6"/>
  <c r="I1791" i="6" s="1"/>
  <c r="E1791" i="6"/>
  <c r="H1790" i="6"/>
  <c r="J1790" i="6" s="1"/>
  <c r="G1790" i="6"/>
  <c r="I1790" i="6" s="1"/>
  <c r="E1790" i="6"/>
  <c r="H1789" i="6"/>
  <c r="J1789" i="6" s="1"/>
  <c r="G1789" i="6"/>
  <c r="I1789" i="6" s="1"/>
  <c r="E1789" i="6"/>
  <c r="H1788" i="6"/>
  <c r="J1788" i="6" s="1"/>
  <c r="G1788" i="6"/>
  <c r="I1788" i="6" s="1"/>
  <c r="E1788" i="6"/>
  <c r="G1787" i="6"/>
  <c r="I1787" i="6" s="1"/>
  <c r="E1787" i="6"/>
  <c r="P1785" i="6"/>
  <c r="R1785" i="6" s="1"/>
  <c r="H1784" i="6"/>
  <c r="J1784" i="6" s="1"/>
  <c r="G1784" i="6"/>
  <c r="I1784" i="6" s="1"/>
  <c r="E1784" i="6"/>
  <c r="H1783" i="6"/>
  <c r="J1783" i="6" s="1"/>
  <c r="G1783" i="6"/>
  <c r="I1783" i="6" s="1"/>
  <c r="E1783" i="6"/>
  <c r="H1782" i="6"/>
  <c r="J1782" i="6" s="1"/>
  <c r="G1782" i="6"/>
  <c r="I1782" i="6" s="1"/>
  <c r="E1782" i="6"/>
  <c r="H1781" i="6"/>
  <c r="J1781" i="6" s="1"/>
  <c r="G1781" i="6"/>
  <c r="I1781" i="6" s="1"/>
  <c r="E1781" i="6"/>
  <c r="H1780" i="6"/>
  <c r="J1780" i="6" s="1"/>
  <c r="G1780" i="6"/>
  <c r="K1785" i="6" s="1"/>
  <c r="E1780" i="6"/>
  <c r="H1777" i="6"/>
  <c r="J1777" i="6" s="1"/>
  <c r="G1777" i="6"/>
  <c r="I1777" i="6" s="1"/>
  <c r="E1777" i="6"/>
  <c r="H1776" i="6"/>
  <c r="J1776" i="6" s="1"/>
  <c r="G1776" i="6"/>
  <c r="I1776" i="6" s="1"/>
  <c r="E1776" i="6"/>
  <c r="H1775" i="6"/>
  <c r="J1775" i="6" s="1"/>
  <c r="G1775" i="6"/>
  <c r="I1775" i="6" s="1"/>
  <c r="E1775" i="6"/>
  <c r="H1774" i="6"/>
  <c r="J1774" i="6" s="1"/>
  <c r="G1774" i="6"/>
  <c r="I1774" i="6" s="1"/>
  <c r="E1774" i="6"/>
  <c r="H1773" i="6"/>
  <c r="J1773" i="6" s="1"/>
  <c r="G1773" i="6"/>
  <c r="I1773" i="6" s="1"/>
  <c r="E1773" i="6"/>
  <c r="H1772" i="6"/>
  <c r="J1772" i="6" s="1"/>
  <c r="G1772" i="6"/>
  <c r="I1772" i="6" s="1"/>
  <c r="E1772" i="6"/>
  <c r="H1771" i="6"/>
  <c r="J1771" i="6" s="1"/>
  <c r="G1771" i="6"/>
  <c r="I1771" i="6" s="1"/>
  <c r="E1771" i="6"/>
  <c r="H1770" i="6"/>
  <c r="J1770" i="6" s="1"/>
  <c r="G1770" i="6"/>
  <c r="I1770" i="6" s="1"/>
  <c r="E1770" i="6"/>
  <c r="H1769" i="6"/>
  <c r="J1769" i="6" s="1"/>
  <c r="G1769" i="6"/>
  <c r="I1769" i="6" s="1"/>
  <c r="E1769" i="6"/>
  <c r="H1768" i="6"/>
  <c r="J1768" i="6" s="1"/>
  <c r="G1768" i="6"/>
  <c r="I1768" i="6" s="1"/>
  <c r="E1768" i="6"/>
  <c r="H1767" i="6"/>
  <c r="J1767" i="6" s="1"/>
  <c r="G1767" i="6"/>
  <c r="I1767" i="6" s="1"/>
  <c r="E1767" i="6"/>
  <c r="H1766" i="6"/>
  <c r="J1766" i="6" s="1"/>
  <c r="G1766" i="6"/>
  <c r="I1766" i="6" s="1"/>
  <c r="E1766" i="6"/>
  <c r="H1765" i="6"/>
  <c r="J1765" i="6" s="1"/>
  <c r="G1765" i="6"/>
  <c r="I1765" i="6" s="1"/>
  <c r="E1765" i="6"/>
  <c r="H1764" i="6"/>
  <c r="J1764" i="6" s="1"/>
  <c r="G1764" i="6"/>
  <c r="I1764" i="6" s="1"/>
  <c r="E1764" i="6"/>
  <c r="H1763" i="6"/>
  <c r="J1763" i="6" s="1"/>
  <c r="G1763" i="6"/>
  <c r="I1763" i="6" s="1"/>
  <c r="E1763" i="6"/>
  <c r="H1762" i="6"/>
  <c r="J1762" i="6" s="1"/>
  <c r="G1762" i="6"/>
  <c r="I1762" i="6" s="1"/>
  <c r="E1762" i="6"/>
  <c r="H1761" i="6"/>
  <c r="J1761" i="6" s="1"/>
  <c r="G1761" i="6"/>
  <c r="I1761" i="6" s="1"/>
  <c r="E1761" i="6"/>
  <c r="H1760" i="6"/>
  <c r="J1760" i="6" s="1"/>
  <c r="G1760" i="6"/>
  <c r="I1760" i="6" s="1"/>
  <c r="E1760" i="6"/>
  <c r="H1759" i="6"/>
  <c r="J1759" i="6" s="1"/>
  <c r="G1759" i="6"/>
  <c r="I1759" i="6" s="1"/>
  <c r="E1759" i="6"/>
  <c r="H1758" i="6"/>
  <c r="J1758" i="6" s="1"/>
  <c r="G1758" i="6"/>
  <c r="I1758" i="6" s="1"/>
  <c r="E1758" i="6"/>
  <c r="F1755" i="6"/>
  <c r="K1796" i="6" s="1"/>
  <c r="G1754" i="6"/>
  <c r="F1754" i="6"/>
  <c r="G1753" i="6"/>
  <c r="F1753" i="6"/>
  <c r="G1752" i="6"/>
  <c r="F1752" i="6"/>
  <c r="H1744" i="6"/>
  <c r="J1744" i="6" s="1"/>
  <c r="G1744" i="6"/>
  <c r="I1744" i="6" s="1"/>
  <c r="E1744" i="6"/>
  <c r="H1743" i="6"/>
  <c r="J1743" i="6" s="1"/>
  <c r="G1743" i="6"/>
  <c r="I1743" i="6" s="1"/>
  <c r="E1743" i="6"/>
  <c r="H1742" i="6"/>
  <c r="J1742" i="6" s="1"/>
  <c r="G1742" i="6"/>
  <c r="I1742" i="6" s="1"/>
  <c r="E1742" i="6"/>
  <c r="H1741" i="6"/>
  <c r="J1741" i="6" s="1"/>
  <c r="G1741" i="6"/>
  <c r="I1741" i="6" s="1"/>
  <c r="E1741" i="6"/>
  <c r="G1740" i="6"/>
  <c r="I1740" i="6" s="1"/>
  <c r="E1740" i="6"/>
  <c r="R1738" i="6"/>
  <c r="P1738" i="6"/>
  <c r="H1737" i="6"/>
  <c r="J1737" i="6" s="1"/>
  <c r="G1737" i="6"/>
  <c r="I1737" i="6" s="1"/>
  <c r="E1737" i="6"/>
  <c r="H1736" i="6"/>
  <c r="J1736" i="6" s="1"/>
  <c r="G1736" i="6"/>
  <c r="I1736" i="6" s="1"/>
  <c r="E1736" i="6"/>
  <c r="H1735" i="6"/>
  <c r="J1735" i="6" s="1"/>
  <c r="G1735" i="6"/>
  <c r="I1735" i="6" s="1"/>
  <c r="E1735" i="6"/>
  <c r="H1734" i="6"/>
  <c r="J1734" i="6" s="1"/>
  <c r="G1734" i="6"/>
  <c r="I1734" i="6" s="1"/>
  <c r="E1734" i="6"/>
  <c r="H1733" i="6"/>
  <c r="J1733" i="6" s="1"/>
  <c r="G1733" i="6"/>
  <c r="K1738" i="6" s="1"/>
  <c r="E1733" i="6"/>
  <c r="H1730" i="6"/>
  <c r="J1730" i="6" s="1"/>
  <c r="G1730" i="6"/>
  <c r="I1730" i="6" s="1"/>
  <c r="E1730" i="6"/>
  <c r="H1729" i="6"/>
  <c r="J1729" i="6" s="1"/>
  <c r="G1729" i="6"/>
  <c r="I1729" i="6" s="1"/>
  <c r="E1729" i="6"/>
  <c r="H1728" i="6"/>
  <c r="J1728" i="6" s="1"/>
  <c r="G1728" i="6"/>
  <c r="I1728" i="6" s="1"/>
  <c r="E1728" i="6"/>
  <c r="H1727" i="6"/>
  <c r="J1727" i="6" s="1"/>
  <c r="G1727" i="6"/>
  <c r="I1727" i="6" s="1"/>
  <c r="E1727" i="6"/>
  <c r="H1726" i="6"/>
  <c r="J1726" i="6" s="1"/>
  <c r="G1726" i="6"/>
  <c r="I1726" i="6" s="1"/>
  <c r="E1726" i="6"/>
  <c r="H1725" i="6"/>
  <c r="J1725" i="6" s="1"/>
  <c r="G1725" i="6"/>
  <c r="I1725" i="6" s="1"/>
  <c r="E1725" i="6"/>
  <c r="H1724" i="6"/>
  <c r="J1724" i="6" s="1"/>
  <c r="G1724" i="6"/>
  <c r="I1724" i="6" s="1"/>
  <c r="E1724" i="6"/>
  <c r="H1723" i="6"/>
  <c r="J1723" i="6" s="1"/>
  <c r="G1723" i="6"/>
  <c r="I1723" i="6" s="1"/>
  <c r="E1723" i="6"/>
  <c r="H1722" i="6"/>
  <c r="J1722" i="6" s="1"/>
  <c r="G1722" i="6"/>
  <c r="I1722" i="6" s="1"/>
  <c r="E1722" i="6"/>
  <c r="H1721" i="6"/>
  <c r="J1721" i="6" s="1"/>
  <c r="G1721" i="6"/>
  <c r="I1721" i="6" s="1"/>
  <c r="E1721" i="6"/>
  <c r="H1720" i="6"/>
  <c r="J1720" i="6" s="1"/>
  <c r="G1720" i="6"/>
  <c r="I1720" i="6" s="1"/>
  <c r="E1720" i="6"/>
  <c r="H1719" i="6"/>
  <c r="J1719" i="6" s="1"/>
  <c r="G1719" i="6"/>
  <c r="I1719" i="6" s="1"/>
  <c r="E1719" i="6"/>
  <c r="H1718" i="6"/>
  <c r="J1718" i="6" s="1"/>
  <c r="G1718" i="6"/>
  <c r="I1718" i="6" s="1"/>
  <c r="E1718" i="6"/>
  <c r="H1717" i="6"/>
  <c r="J1717" i="6" s="1"/>
  <c r="G1717" i="6"/>
  <c r="I1717" i="6" s="1"/>
  <c r="E1717" i="6"/>
  <c r="H1716" i="6"/>
  <c r="J1716" i="6" s="1"/>
  <c r="G1716" i="6"/>
  <c r="I1716" i="6" s="1"/>
  <c r="E1716" i="6"/>
  <c r="H1715" i="6"/>
  <c r="J1715" i="6" s="1"/>
  <c r="G1715" i="6"/>
  <c r="I1715" i="6" s="1"/>
  <c r="E1715" i="6"/>
  <c r="H1714" i="6"/>
  <c r="J1714" i="6" s="1"/>
  <c r="G1714" i="6"/>
  <c r="I1714" i="6" s="1"/>
  <c r="E1714" i="6"/>
  <c r="H1713" i="6"/>
  <c r="J1713" i="6" s="1"/>
  <c r="G1713" i="6"/>
  <c r="I1713" i="6" s="1"/>
  <c r="E1713" i="6"/>
  <c r="H1712" i="6"/>
  <c r="J1712" i="6" s="1"/>
  <c r="G1712" i="6"/>
  <c r="I1712" i="6" s="1"/>
  <c r="E1712" i="6"/>
  <c r="H1711" i="6"/>
  <c r="J1711" i="6" s="1"/>
  <c r="G1711" i="6"/>
  <c r="I1711" i="6" s="1"/>
  <c r="E1711" i="6"/>
  <c r="F1708" i="6"/>
  <c r="K1749" i="6" s="1"/>
  <c r="G1707" i="6"/>
  <c r="F1707" i="6"/>
  <c r="G1706" i="6"/>
  <c r="F1706" i="6"/>
  <c r="G1705" i="6"/>
  <c r="F1705" i="6"/>
  <c r="H1697" i="6"/>
  <c r="J1697" i="6" s="1"/>
  <c r="G1697" i="6"/>
  <c r="I1697" i="6" s="1"/>
  <c r="E1697" i="6"/>
  <c r="H1696" i="6"/>
  <c r="J1696" i="6" s="1"/>
  <c r="G1696" i="6"/>
  <c r="I1696" i="6" s="1"/>
  <c r="E1696" i="6"/>
  <c r="H1695" i="6"/>
  <c r="J1695" i="6" s="1"/>
  <c r="G1695" i="6"/>
  <c r="I1695" i="6" s="1"/>
  <c r="E1695" i="6"/>
  <c r="H1694" i="6"/>
  <c r="J1694" i="6" s="1"/>
  <c r="G1694" i="6"/>
  <c r="I1694" i="6" s="1"/>
  <c r="E1694" i="6"/>
  <c r="G1693" i="6"/>
  <c r="I1693" i="6" s="1"/>
  <c r="E1693" i="6"/>
  <c r="P1691" i="6"/>
  <c r="H1690" i="6"/>
  <c r="J1690" i="6" s="1"/>
  <c r="G1690" i="6"/>
  <c r="I1690" i="6" s="1"/>
  <c r="E1690" i="6"/>
  <c r="H1689" i="6"/>
  <c r="J1689" i="6" s="1"/>
  <c r="G1689" i="6"/>
  <c r="I1689" i="6" s="1"/>
  <c r="E1689" i="6"/>
  <c r="H1688" i="6"/>
  <c r="J1688" i="6" s="1"/>
  <c r="G1688" i="6"/>
  <c r="I1688" i="6" s="1"/>
  <c r="E1688" i="6"/>
  <c r="H1687" i="6"/>
  <c r="J1687" i="6" s="1"/>
  <c r="G1687" i="6"/>
  <c r="I1687" i="6" s="1"/>
  <c r="E1687" i="6"/>
  <c r="H1686" i="6"/>
  <c r="J1686" i="6" s="1"/>
  <c r="G1686" i="6"/>
  <c r="K1691" i="6" s="1"/>
  <c r="E1686" i="6"/>
  <c r="H1683" i="6"/>
  <c r="J1683" i="6" s="1"/>
  <c r="G1683" i="6"/>
  <c r="I1683" i="6" s="1"/>
  <c r="E1683" i="6"/>
  <c r="H1682" i="6"/>
  <c r="J1682" i="6" s="1"/>
  <c r="G1682" i="6"/>
  <c r="I1682" i="6" s="1"/>
  <c r="E1682" i="6"/>
  <c r="H1681" i="6"/>
  <c r="J1681" i="6" s="1"/>
  <c r="G1681" i="6"/>
  <c r="I1681" i="6" s="1"/>
  <c r="E1681" i="6"/>
  <c r="H1680" i="6"/>
  <c r="J1680" i="6" s="1"/>
  <c r="G1680" i="6"/>
  <c r="I1680" i="6" s="1"/>
  <c r="E1680" i="6"/>
  <c r="H1679" i="6"/>
  <c r="J1679" i="6" s="1"/>
  <c r="G1679" i="6"/>
  <c r="I1679" i="6" s="1"/>
  <c r="E1679" i="6"/>
  <c r="H1678" i="6"/>
  <c r="J1678" i="6" s="1"/>
  <c r="G1678" i="6"/>
  <c r="I1678" i="6" s="1"/>
  <c r="E1678" i="6"/>
  <c r="H1677" i="6"/>
  <c r="J1677" i="6" s="1"/>
  <c r="G1677" i="6"/>
  <c r="I1677" i="6" s="1"/>
  <c r="E1677" i="6"/>
  <c r="H1676" i="6"/>
  <c r="J1676" i="6" s="1"/>
  <c r="G1676" i="6"/>
  <c r="I1676" i="6" s="1"/>
  <c r="E1676" i="6"/>
  <c r="H1675" i="6"/>
  <c r="J1675" i="6" s="1"/>
  <c r="G1675" i="6"/>
  <c r="I1675" i="6" s="1"/>
  <c r="E1675" i="6"/>
  <c r="H1674" i="6"/>
  <c r="J1674" i="6" s="1"/>
  <c r="G1674" i="6"/>
  <c r="I1674" i="6" s="1"/>
  <c r="E1674" i="6"/>
  <c r="H1673" i="6"/>
  <c r="J1673" i="6" s="1"/>
  <c r="G1673" i="6"/>
  <c r="I1673" i="6" s="1"/>
  <c r="E1673" i="6"/>
  <c r="H1672" i="6"/>
  <c r="J1672" i="6" s="1"/>
  <c r="G1672" i="6"/>
  <c r="I1672" i="6" s="1"/>
  <c r="E1672" i="6"/>
  <c r="H1671" i="6"/>
  <c r="J1671" i="6" s="1"/>
  <c r="G1671" i="6"/>
  <c r="I1671" i="6" s="1"/>
  <c r="E1671" i="6"/>
  <c r="H1670" i="6"/>
  <c r="J1670" i="6" s="1"/>
  <c r="G1670" i="6"/>
  <c r="I1670" i="6" s="1"/>
  <c r="E1670" i="6"/>
  <c r="H1669" i="6"/>
  <c r="J1669" i="6" s="1"/>
  <c r="G1669" i="6"/>
  <c r="I1669" i="6" s="1"/>
  <c r="E1669" i="6"/>
  <c r="H1668" i="6"/>
  <c r="J1668" i="6" s="1"/>
  <c r="G1668" i="6"/>
  <c r="I1668" i="6" s="1"/>
  <c r="E1668" i="6"/>
  <c r="H1667" i="6"/>
  <c r="J1667" i="6" s="1"/>
  <c r="G1667" i="6"/>
  <c r="I1667" i="6" s="1"/>
  <c r="E1667" i="6"/>
  <c r="H1666" i="6"/>
  <c r="J1666" i="6" s="1"/>
  <c r="G1666" i="6"/>
  <c r="I1666" i="6" s="1"/>
  <c r="E1666" i="6"/>
  <c r="H1665" i="6"/>
  <c r="J1665" i="6" s="1"/>
  <c r="G1665" i="6"/>
  <c r="I1665" i="6" s="1"/>
  <c r="E1665" i="6"/>
  <c r="H1664" i="6"/>
  <c r="J1664" i="6" s="1"/>
  <c r="G1664" i="6"/>
  <c r="I1664" i="6" s="1"/>
  <c r="E1664" i="6"/>
  <c r="F1661" i="6"/>
  <c r="K1702" i="6" s="1"/>
  <c r="G1660" i="6"/>
  <c r="F1660" i="6"/>
  <c r="G1659" i="6"/>
  <c r="F1659" i="6"/>
  <c r="G1658" i="6"/>
  <c r="F1658" i="6"/>
  <c r="H1650" i="6"/>
  <c r="J1650" i="6" s="1"/>
  <c r="G1650" i="6"/>
  <c r="I1650" i="6" s="1"/>
  <c r="E1650" i="6"/>
  <c r="H1649" i="6"/>
  <c r="J1649" i="6" s="1"/>
  <c r="G1649" i="6"/>
  <c r="I1649" i="6" s="1"/>
  <c r="E1649" i="6"/>
  <c r="H1648" i="6"/>
  <c r="J1648" i="6" s="1"/>
  <c r="G1648" i="6"/>
  <c r="I1648" i="6" s="1"/>
  <c r="E1648" i="6"/>
  <c r="H1647" i="6"/>
  <c r="J1647" i="6" s="1"/>
  <c r="G1647" i="6"/>
  <c r="I1647" i="6" s="1"/>
  <c r="E1647" i="6"/>
  <c r="G1646" i="6"/>
  <c r="I1646" i="6" s="1"/>
  <c r="E1646" i="6"/>
  <c r="P1644" i="6"/>
  <c r="R1644" i="6" s="1"/>
  <c r="H1643" i="6"/>
  <c r="J1643" i="6" s="1"/>
  <c r="G1643" i="6"/>
  <c r="I1643" i="6" s="1"/>
  <c r="E1643" i="6"/>
  <c r="H1642" i="6"/>
  <c r="J1642" i="6" s="1"/>
  <c r="G1642" i="6"/>
  <c r="I1642" i="6" s="1"/>
  <c r="E1642" i="6"/>
  <c r="H1641" i="6"/>
  <c r="J1641" i="6" s="1"/>
  <c r="G1641" i="6"/>
  <c r="I1641" i="6" s="1"/>
  <c r="E1641" i="6"/>
  <c r="H1640" i="6"/>
  <c r="J1640" i="6" s="1"/>
  <c r="G1640" i="6"/>
  <c r="I1640" i="6" s="1"/>
  <c r="E1640" i="6"/>
  <c r="H1639" i="6"/>
  <c r="J1639" i="6" s="1"/>
  <c r="G1639" i="6"/>
  <c r="K1644" i="6" s="1"/>
  <c r="E1639" i="6"/>
  <c r="H1636" i="6"/>
  <c r="J1636" i="6" s="1"/>
  <c r="G1636" i="6"/>
  <c r="I1636" i="6" s="1"/>
  <c r="E1636" i="6"/>
  <c r="H1635" i="6"/>
  <c r="J1635" i="6" s="1"/>
  <c r="G1635" i="6"/>
  <c r="I1635" i="6" s="1"/>
  <c r="E1635" i="6"/>
  <c r="H1634" i="6"/>
  <c r="J1634" i="6" s="1"/>
  <c r="G1634" i="6"/>
  <c r="I1634" i="6" s="1"/>
  <c r="E1634" i="6"/>
  <c r="H1633" i="6"/>
  <c r="J1633" i="6" s="1"/>
  <c r="G1633" i="6"/>
  <c r="I1633" i="6" s="1"/>
  <c r="E1633" i="6"/>
  <c r="H1632" i="6"/>
  <c r="J1632" i="6" s="1"/>
  <c r="G1632" i="6"/>
  <c r="I1632" i="6" s="1"/>
  <c r="E1632" i="6"/>
  <c r="H1631" i="6"/>
  <c r="J1631" i="6" s="1"/>
  <c r="G1631" i="6"/>
  <c r="I1631" i="6" s="1"/>
  <c r="E1631" i="6"/>
  <c r="H1630" i="6"/>
  <c r="J1630" i="6" s="1"/>
  <c r="G1630" i="6"/>
  <c r="I1630" i="6" s="1"/>
  <c r="E1630" i="6"/>
  <c r="H1629" i="6"/>
  <c r="J1629" i="6" s="1"/>
  <c r="G1629" i="6"/>
  <c r="I1629" i="6" s="1"/>
  <c r="E1629" i="6"/>
  <c r="H1628" i="6"/>
  <c r="J1628" i="6" s="1"/>
  <c r="G1628" i="6"/>
  <c r="I1628" i="6" s="1"/>
  <c r="E1628" i="6"/>
  <c r="H1627" i="6"/>
  <c r="J1627" i="6" s="1"/>
  <c r="G1627" i="6"/>
  <c r="I1627" i="6" s="1"/>
  <c r="E1627" i="6"/>
  <c r="H1626" i="6"/>
  <c r="J1626" i="6" s="1"/>
  <c r="G1626" i="6"/>
  <c r="I1626" i="6" s="1"/>
  <c r="E1626" i="6"/>
  <c r="H1625" i="6"/>
  <c r="J1625" i="6" s="1"/>
  <c r="G1625" i="6"/>
  <c r="I1625" i="6" s="1"/>
  <c r="E1625" i="6"/>
  <c r="H1624" i="6"/>
  <c r="J1624" i="6" s="1"/>
  <c r="G1624" i="6"/>
  <c r="I1624" i="6" s="1"/>
  <c r="E1624" i="6"/>
  <c r="H1623" i="6"/>
  <c r="J1623" i="6" s="1"/>
  <c r="G1623" i="6"/>
  <c r="I1623" i="6" s="1"/>
  <c r="E1623" i="6"/>
  <c r="H1622" i="6"/>
  <c r="J1622" i="6" s="1"/>
  <c r="G1622" i="6"/>
  <c r="I1622" i="6" s="1"/>
  <c r="E1622" i="6"/>
  <c r="H1621" i="6"/>
  <c r="J1621" i="6" s="1"/>
  <c r="G1621" i="6"/>
  <c r="I1621" i="6" s="1"/>
  <c r="E1621" i="6"/>
  <c r="H1620" i="6"/>
  <c r="J1620" i="6" s="1"/>
  <c r="G1620" i="6"/>
  <c r="I1620" i="6" s="1"/>
  <c r="E1620" i="6"/>
  <c r="H1619" i="6"/>
  <c r="J1619" i="6" s="1"/>
  <c r="G1619" i="6"/>
  <c r="I1619" i="6" s="1"/>
  <c r="E1619" i="6"/>
  <c r="H1618" i="6"/>
  <c r="J1618" i="6" s="1"/>
  <c r="G1618" i="6"/>
  <c r="I1618" i="6" s="1"/>
  <c r="E1618" i="6"/>
  <c r="H1617" i="6"/>
  <c r="J1617" i="6" s="1"/>
  <c r="G1617" i="6"/>
  <c r="I1617" i="6" s="1"/>
  <c r="E1617" i="6"/>
  <c r="F1614" i="6"/>
  <c r="K1655" i="6" s="1"/>
  <c r="G1613" i="6"/>
  <c r="F1613" i="6"/>
  <c r="G1612" i="6"/>
  <c r="F1612" i="6"/>
  <c r="G1611" i="6"/>
  <c r="F1611" i="6"/>
  <c r="H1603" i="6"/>
  <c r="J1603" i="6" s="1"/>
  <c r="G1603" i="6"/>
  <c r="I1603" i="6" s="1"/>
  <c r="E1603" i="6"/>
  <c r="H1602" i="6"/>
  <c r="J1602" i="6" s="1"/>
  <c r="G1602" i="6"/>
  <c r="I1602" i="6" s="1"/>
  <c r="E1602" i="6"/>
  <c r="H1601" i="6"/>
  <c r="J1601" i="6" s="1"/>
  <c r="G1601" i="6"/>
  <c r="I1601" i="6" s="1"/>
  <c r="E1601" i="6"/>
  <c r="H1600" i="6"/>
  <c r="J1600" i="6" s="1"/>
  <c r="G1600" i="6"/>
  <c r="I1600" i="6" s="1"/>
  <c r="E1600" i="6"/>
  <c r="G1599" i="6"/>
  <c r="I1599" i="6" s="1"/>
  <c r="E1599" i="6"/>
  <c r="P1597" i="6"/>
  <c r="R1597" i="6" s="1"/>
  <c r="H1596" i="6"/>
  <c r="J1596" i="6" s="1"/>
  <c r="G1596" i="6"/>
  <c r="I1596" i="6" s="1"/>
  <c r="E1596" i="6"/>
  <c r="H1595" i="6"/>
  <c r="J1595" i="6" s="1"/>
  <c r="G1595" i="6"/>
  <c r="I1595" i="6" s="1"/>
  <c r="E1595" i="6"/>
  <c r="H1594" i="6"/>
  <c r="J1594" i="6" s="1"/>
  <c r="G1594" i="6"/>
  <c r="I1594" i="6" s="1"/>
  <c r="E1594" i="6"/>
  <c r="H1593" i="6"/>
  <c r="J1593" i="6" s="1"/>
  <c r="G1593" i="6"/>
  <c r="I1593" i="6" s="1"/>
  <c r="E1593" i="6"/>
  <c r="H1592" i="6"/>
  <c r="J1592" i="6" s="1"/>
  <c r="G1592" i="6"/>
  <c r="K1597" i="6" s="1"/>
  <c r="E1592" i="6"/>
  <c r="H1589" i="6"/>
  <c r="J1589" i="6" s="1"/>
  <c r="G1589" i="6"/>
  <c r="I1589" i="6" s="1"/>
  <c r="E1589" i="6"/>
  <c r="H1588" i="6"/>
  <c r="J1588" i="6" s="1"/>
  <c r="G1588" i="6"/>
  <c r="I1588" i="6" s="1"/>
  <c r="E1588" i="6"/>
  <c r="H1587" i="6"/>
  <c r="J1587" i="6" s="1"/>
  <c r="G1587" i="6"/>
  <c r="I1587" i="6" s="1"/>
  <c r="E1587" i="6"/>
  <c r="H1586" i="6"/>
  <c r="J1586" i="6" s="1"/>
  <c r="G1586" i="6"/>
  <c r="I1586" i="6" s="1"/>
  <c r="E1586" i="6"/>
  <c r="H1585" i="6"/>
  <c r="J1585" i="6" s="1"/>
  <c r="G1585" i="6"/>
  <c r="I1585" i="6" s="1"/>
  <c r="E1585" i="6"/>
  <c r="H1584" i="6"/>
  <c r="J1584" i="6" s="1"/>
  <c r="G1584" i="6"/>
  <c r="I1584" i="6" s="1"/>
  <c r="E1584" i="6"/>
  <c r="H1583" i="6"/>
  <c r="J1583" i="6" s="1"/>
  <c r="G1583" i="6"/>
  <c r="I1583" i="6" s="1"/>
  <c r="E1583" i="6"/>
  <c r="H1582" i="6"/>
  <c r="J1582" i="6" s="1"/>
  <c r="G1582" i="6"/>
  <c r="I1582" i="6" s="1"/>
  <c r="E1582" i="6"/>
  <c r="H1581" i="6"/>
  <c r="J1581" i="6" s="1"/>
  <c r="G1581" i="6"/>
  <c r="I1581" i="6" s="1"/>
  <c r="E1581" i="6"/>
  <c r="H1580" i="6"/>
  <c r="J1580" i="6" s="1"/>
  <c r="G1580" i="6"/>
  <c r="I1580" i="6" s="1"/>
  <c r="E1580" i="6"/>
  <c r="H1579" i="6"/>
  <c r="J1579" i="6" s="1"/>
  <c r="G1579" i="6"/>
  <c r="I1579" i="6" s="1"/>
  <c r="E1579" i="6"/>
  <c r="H1578" i="6"/>
  <c r="J1578" i="6" s="1"/>
  <c r="G1578" i="6"/>
  <c r="I1578" i="6" s="1"/>
  <c r="E1578" i="6"/>
  <c r="H1577" i="6"/>
  <c r="J1577" i="6" s="1"/>
  <c r="G1577" i="6"/>
  <c r="I1577" i="6" s="1"/>
  <c r="E1577" i="6"/>
  <c r="H1576" i="6"/>
  <c r="J1576" i="6" s="1"/>
  <c r="G1576" i="6"/>
  <c r="I1576" i="6" s="1"/>
  <c r="E1576" i="6"/>
  <c r="H1575" i="6"/>
  <c r="J1575" i="6" s="1"/>
  <c r="G1575" i="6"/>
  <c r="I1575" i="6" s="1"/>
  <c r="E1575" i="6"/>
  <c r="H1574" i="6"/>
  <c r="J1574" i="6" s="1"/>
  <c r="G1574" i="6"/>
  <c r="I1574" i="6" s="1"/>
  <c r="E1574" i="6"/>
  <c r="H1573" i="6"/>
  <c r="J1573" i="6" s="1"/>
  <c r="G1573" i="6"/>
  <c r="I1573" i="6" s="1"/>
  <c r="E1573" i="6"/>
  <c r="H1572" i="6"/>
  <c r="J1572" i="6" s="1"/>
  <c r="G1572" i="6"/>
  <c r="I1572" i="6" s="1"/>
  <c r="E1572" i="6"/>
  <c r="H1571" i="6"/>
  <c r="J1571" i="6" s="1"/>
  <c r="G1571" i="6"/>
  <c r="I1571" i="6" s="1"/>
  <c r="E1571" i="6"/>
  <c r="G1570" i="6"/>
  <c r="I1570" i="6" s="1"/>
  <c r="E1570" i="6"/>
  <c r="F1567" i="6"/>
  <c r="K1608" i="6" s="1"/>
  <c r="G1566" i="6"/>
  <c r="F1566" i="6"/>
  <c r="G1565" i="6"/>
  <c r="F1565" i="6"/>
  <c r="G1564" i="6"/>
  <c r="F1564" i="6"/>
  <c r="H1556" i="6"/>
  <c r="J1556" i="6" s="1"/>
  <c r="G1556" i="6"/>
  <c r="I1556" i="6" s="1"/>
  <c r="E1556" i="6"/>
  <c r="H1555" i="6"/>
  <c r="J1555" i="6" s="1"/>
  <c r="G1555" i="6"/>
  <c r="I1555" i="6" s="1"/>
  <c r="E1555" i="6"/>
  <c r="H1554" i="6"/>
  <c r="J1554" i="6" s="1"/>
  <c r="G1554" i="6"/>
  <c r="I1554" i="6" s="1"/>
  <c r="E1554" i="6"/>
  <c r="H1553" i="6"/>
  <c r="J1553" i="6" s="1"/>
  <c r="G1553" i="6"/>
  <c r="I1553" i="6" s="1"/>
  <c r="E1553" i="6"/>
  <c r="G1552" i="6"/>
  <c r="I1552" i="6" s="1"/>
  <c r="E1552" i="6"/>
  <c r="P1550" i="6"/>
  <c r="R1550" i="6" s="1"/>
  <c r="H1549" i="6"/>
  <c r="J1549" i="6" s="1"/>
  <c r="G1549" i="6"/>
  <c r="I1549" i="6" s="1"/>
  <c r="E1549" i="6"/>
  <c r="H1548" i="6"/>
  <c r="J1548" i="6" s="1"/>
  <c r="G1548" i="6"/>
  <c r="I1548" i="6" s="1"/>
  <c r="E1548" i="6"/>
  <c r="H1547" i="6"/>
  <c r="J1547" i="6" s="1"/>
  <c r="G1547" i="6"/>
  <c r="I1547" i="6" s="1"/>
  <c r="E1547" i="6"/>
  <c r="H1546" i="6"/>
  <c r="J1546" i="6" s="1"/>
  <c r="G1546" i="6"/>
  <c r="I1546" i="6" s="1"/>
  <c r="E1546" i="6"/>
  <c r="H1545" i="6"/>
  <c r="J1545" i="6" s="1"/>
  <c r="G1545" i="6"/>
  <c r="K1550" i="6" s="1"/>
  <c r="E1545" i="6"/>
  <c r="H1542" i="6"/>
  <c r="J1542" i="6" s="1"/>
  <c r="G1542" i="6"/>
  <c r="I1542" i="6" s="1"/>
  <c r="E1542" i="6"/>
  <c r="H1541" i="6"/>
  <c r="J1541" i="6" s="1"/>
  <c r="G1541" i="6"/>
  <c r="I1541" i="6" s="1"/>
  <c r="E1541" i="6"/>
  <c r="H1540" i="6"/>
  <c r="J1540" i="6" s="1"/>
  <c r="G1540" i="6"/>
  <c r="I1540" i="6" s="1"/>
  <c r="E1540" i="6"/>
  <c r="H1539" i="6"/>
  <c r="J1539" i="6" s="1"/>
  <c r="G1539" i="6"/>
  <c r="I1539" i="6" s="1"/>
  <c r="E1539" i="6"/>
  <c r="H1538" i="6"/>
  <c r="J1538" i="6" s="1"/>
  <c r="G1538" i="6"/>
  <c r="I1538" i="6" s="1"/>
  <c r="E1538" i="6"/>
  <c r="H1537" i="6"/>
  <c r="J1537" i="6" s="1"/>
  <c r="G1537" i="6"/>
  <c r="I1537" i="6" s="1"/>
  <c r="E1537" i="6"/>
  <c r="H1536" i="6"/>
  <c r="J1536" i="6" s="1"/>
  <c r="G1536" i="6"/>
  <c r="I1536" i="6" s="1"/>
  <c r="E1536" i="6"/>
  <c r="H1535" i="6"/>
  <c r="J1535" i="6" s="1"/>
  <c r="G1535" i="6"/>
  <c r="I1535" i="6" s="1"/>
  <c r="E1535" i="6"/>
  <c r="H1534" i="6"/>
  <c r="J1534" i="6" s="1"/>
  <c r="G1534" i="6"/>
  <c r="I1534" i="6" s="1"/>
  <c r="E1534" i="6"/>
  <c r="H1533" i="6"/>
  <c r="J1533" i="6" s="1"/>
  <c r="G1533" i="6"/>
  <c r="I1533" i="6" s="1"/>
  <c r="E1533" i="6"/>
  <c r="H1532" i="6"/>
  <c r="J1532" i="6" s="1"/>
  <c r="G1532" i="6"/>
  <c r="I1532" i="6" s="1"/>
  <c r="E1532" i="6"/>
  <c r="H1531" i="6"/>
  <c r="J1531" i="6" s="1"/>
  <c r="G1531" i="6"/>
  <c r="I1531" i="6" s="1"/>
  <c r="E1531" i="6"/>
  <c r="H1530" i="6"/>
  <c r="J1530" i="6" s="1"/>
  <c r="G1530" i="6"/>
  <c r="I1530" i="6" s="1"/>
  <c r="E1530" i="6"/>
  <c r="H1529" i="6"/>
  <c r="J1529" i="6" s="1"/>
  <c r="G1529" i="6"/>
  <c r="I1529" i="6" s="1"/>
  <c r="E1529" i="6"/>
  <c r="H1528" i="6"/>
  <c r="J1528" i="6" s="1"/>
  <c r="G1528" i="6"/>
  <c r="I1528" i="6" s="1"/>
  <c r="E1528" i="6"/>
  <c r="H1527" i="6"/>
  <c r="J1527" i="6" s="1"/>
  <c r="G1527" i="6"/>
  <c r="I1527" i="6" s="1"/>
  <c r="E1527" i="6"/>
  <c r="H1526" i="6"/>
  <c r="J1526" i="6" s="1"/>
  <c r="G1526" i="6"/>
  <c r="I1526" i="6" s="1"/>
  <c r="E1526" i="6"/>
  <c r="H1525" i="6"/>
  <c r="J1525" i="6" s="1"/>
  <c r="G1525" i="6"/>
  <c r="I1525" i="6" s="1"/>
  <c r="E1525" i="6"/>
  <c r="H1524" i="6"/>
  <c r="J1524" i="6" s="1"/>
  <c r="G1524" i="6"/>
  <c r="I1524" i="6" s="1"/>
  <c r="E1524" i="6"/>
  <c r="H1523" i="6"/>
  <c r="J1523" i="6" s="1"/>
  <c r="G1523" i="6"/>
  <c r="I1523" i="6" s="1"/>
  <c r="E1523" i="6"/>
  <c r="F1520" i="6"/>
  <c r="K1561" i="6" s="1"/>
  <c r="G1519" i="6"/>
  <c r="F1519" i="6"/>
  <c r="G1518" i="6"/>
  <c r="F1518" i="6"/>
  <c r="G1517" i="6"/>
  <c r="F1517" i="6"/>
  <c r="H1509" i="6"/>
  <c r="J1509" i="6" s="1"/>
  <c r="G1509" i="6"/>
  <c r="I1509" i="6" s="1"/>
  <c r="E1509" i="6"/>
  <c r="H1508" i="6"/>
  <c r="J1508" i="6" s="1"/>
  <c r="G1508" i="6"/>
  <c r="I1508" i="6" s="1"/>
  <c r="E1508" i="6"/>
  <c r="H1507" i="6"/>
  <c r="J1507" i="6" s="1"/>
  <c r="G1507" i="6"/>
  <c r="I1507" i="6" s="1"/>
  <c r="E1507" i="6"/>
  <c r="H1506" i="6"/>
  <c r="J1506" i="6" s="1"/>
  <c r="G1506" i="6"/>
  <c r="I1506" i="6" s="1"/>
  <c r="E1506" i="6"/>
  <c r="G1505" i="6"/>
  <c r="I1505" i="6" s="1"/>
  <c r="E1505" i="6"/>
  <c r="P1503" i="6"/>
  <c r="R1503" i="6" s="1"/>
  <c r="H1502" i="6"/>
  <c r="J1502" i="6" s="1"/>
  <c r="G1502" i="6"/>
  <c r="I1502" i="6" s="1"/>
  <c r="E1502" i="6"/>
  <c r="H1501" i="6"/>
  <c r="J1501" i="6" s="1"/>
  <c r="G1501" i="6"/>
  <c r="I1501" i="6" s="1"/>
  <c r="E1501" i="6"/>
  <c r="H1500" i="6"/>
  <c r="J1500" i="6" s="1"/>
  <c r="G1500" i="6"/>
  <c r="I1500" i="6" s="1"/>
  <c r="E1500" i="6"/>
  <c r="H1499" i="6"/>
  <c r="J1499" i="6" s="1"/>
  <c r="G1499" i="6"/>
  <c r="I1499" i="6" s="1"/>
  <c r="E1499" i="6"/>
  <c r="H1498" i="6"/>
  <c r="J1498" i="6" s="1"/>
  <c r="G1498" i="6"/>
  <c r="K1503" i="6" s="1"/>
  <c r="E1498" i="6"/>
  <c r="H1495" i="6"/>
  <c r="J1495" i="6" s="1"/>
  <c r="G1495" i="6"/>
  <c r="I1495" i="6" s="1"/>
  <c r="E1495" i="6"/>
  <c r="H1494" i="6"/>
  <c r="J1494" i="6" s="1"/>
  <c r="G1494" i="6"/>
  <c r="I1494" i="6" s="1"/>
  <c r="E1494" i="6"/>
  <c r="H1493" i="6"/>
  <c r="J1493" i="6" s="1"/>
  <c r="G1493" i="6"/>
  <c r="I1493" i="6" s="1"/>
  <c r="E1493" i="6"/>
  <c r="H1492" i="6"/>
  <c r="J1492" i="6" s="1"/>
  <c r="G1492" i="6"/>
  <c r="I1492" i="6" s="1"/>
  <c r="E1492" i="6"/>
  <c r="H1491" i="6"/>
  <c r="J1491" i="6" s="1"/>
  <c r="G1491" i="6"/>
  <c r="I1491" i="6" s="1"/>
  <c r="E1491" i="6"/>
  <c r="H1490" i="6"/>
  <c r="J1490" i="6" s="1"/>
  <c r="G1490" i="6"/>
  <c r="I1490" i="6" s="1"/>
  <c r="E1490" i="6"/>
  <c r="H1489" i="6"/>
  <c r="J1489" i="6" s="1"/>
  <c r="G1489" i="6"/>
  <c r="I1489" i="6" s="1"/>
  <c r="E1489" i="6"/>
  <c r="H1488" i="6"/>
  <c r="J1488" i="6" s="1"/>
  <c r="G1488" i="6"/>
  <c r="I1488" i="6" s="1"/>
  <c r="E1488" i="6"/>
  <c r="H1487" i="6"/>
  <c r="J1487" i="6" s="1"/>
  <c r="G1487" i="6"/>
  <c r="I1487" i="6" s="1"/>
  <c r="E1487" i="6"/>
  <c r="H1486" i="6"/>
  <c r="J1486" i="6" s="1"/>
  <c r="G1486" i="6"/>
  <c r="I1486" i="6" s="1"/>
  <c r="E1486" i="6"/>
  <c r="H1485" i="6"/>
  <c r="J1485" i="6" s="1"/>
  <c r="G1485" i="6"/>
  <c r="I1485" i="6" s="1"/>
  <c r="E1485" i="6"/>
  <c r="H1484" i="6"/>
  <c r="J1484" i="6" s="1"/>
  <c r="G1484" i="6"/>
  <c r="I1484" i="6" s="1"/>
  <c r="E1484" i="6"/>
  <c r="H1483" i="6"/>
  <c r="J1483" i="6" s="1"/>
  <c r="G1483" i="6"/>
  <c r="I1483" i="6" s="1"/>
  <c r="E1483" i="6"/>
  <c r="H1482" i="6"/>
  <c r="J1482" i="6" s="1"/>
  <c r="G1482" i="6"/>
  <c r="I1482" i="6" s="1"/>
  <c r="E1482" i="6"/>
  <c r="H1481" i="6"/>
  <c r="J1481" i="6" s="1"/>
  <c r="G1481" i="6"/>
  <c r="I1481" i="6" s="1"/>
  <c r="E1481" i="6"/>
  <c r="H1480" i="6"/>
  <c r="J1480" i="6" s="1"/>
  <c r="G1480" i="6"/>
  <c r="I1480" i="6" s="1"/>
  <c r="E1480" i="6"/>
  <c r="H1479" i="6"/>
  <c r="J1479" i="6" s="1"/>
  <c r="G1479" i="6"/>
  <c r="I1479" i="6" s="1"/>
  <c r="E1479" i="6"/>
  <c r="H1478" i="6"/>
  <c r="J1478" i="6" s="1"/>
  <c r="G1478" i="6"/>
  <c r="I1478" i="6" s="1"/>
  <c r="E1478" i="6"/>
  <c r="H1477" i="6"/>
  <c r="J1477" i="6" s="1"/>
  <c r="G1477" i="6"/>
  <c r="I1477" i="6" s="1"/>
  <c r="E1477" i="6"/>
  <c r="H1476" i="6"/>
  <c r="J1476" i="6" s="1"/>
  <c r="G1476" i="6"/>
  <c r="I1476" i="6" s="1"/>
  <c r="E1476" i="6"/>
  <c r="F1473" i="6"/>
  <c r="K1514" i="6" s="1"/>
  <c r="G1472" i="6"/>
  <c r="F1472" i="6"/>
  <c r="G1471" i="6"/>
  <c r="F1471" i="6"/>
  <c r="G1470" i="6"/>
  <c r="F1470" i="6"/>
  <c r="H1462" i="6"/>
  <c r="J1462" i="6" s="1"/>
  <c r="G1462" i="6"/>
  <c r="I1462" i="6" s="1"/>
  <c r="E1462" i="6"/>
  <c r="H1461" i="6"/>
  <c r="J1461" i="6" s="1"/>
  <c r="G1461" i="6"/>
  <c r="I1461" i="6" s="1"/>
  <c r="E1461" i="6"/>
  <c r="H1460" i="6"/>
  <c r="J1460" i="6" s="1"/>
  <c r="G1460" i="6"/>
  <c r="I1460" i="6" s="1"/>
  <c r="E1460" i="6"/>
  <c r="H1459" i="6"/>
  <c r="J1459" i="6" s="1"/>
  <c r="G1459" i="6"/>
  <c r="I1459" i="6" s="1"/>
  <c r="E1459" i="6"/>
  <c r="G1458" i="6"/>
  <c r="I1458" i="6" s="1"/>
  <c r="E1458" i="6"/>
  <c r="P1456" i="6"/>
  <c r="R1456" i="6" s="1"/>
  <c r="H1455" i="6"/>
  <c r="J1455" i="6" s="1"/>
  <c r="G1455" i="6"/>
  <c r="I1455" i="6" s="1"/>
  <c r="E1455" i="6"/>
  <c r="H1454" i="6"/>
  <c r="J1454" i="6" s="1"/>
  <c r="G1454" i="6"/>
  <c r="I1454" i="6" s="1"/>
  <c r="E1454" i="6"/>
  <c r="H1453" i="6"/>
  <c r="J1453" i="6" s="1"/>
  <c r="G1453" i="6"/>
  <c r="I1453" i="6" s="1"/>
  <c r="E1453" i="6"/>
  <c r="H1452" i="6"/>
  <c r="J1452" i="6" s="1"/>
  <c r="G1452" i="6"/>
  <c r="I1452" i="6" s="1"/>
  <c r="E1452" i="6"/>
  <c r="H1451" i="6"/>
  <c r="J1451" i="6" s="1"/>
  <c r="G1451" i="6"/>
  <c r="K1456" i="6" s="1"/>
  <c r="E1451" i="6"/>
  <c r="H1448" i="6"/>
  <c r="J1448" i="6" s="1"/>
  <c r="G1448" i="6"/>
  <c r="I1448" i="6" s="1"/>
  <c r="E1448" i="6"/>
  <c r="H1447" i="6"/>
  <c r="J1447" i="6" s="1"/>
  <c r="G1447" i="6"/>
  <c r="I1447" i="6" s="1"/>
  <c r="E1447" i="6"/>
  <c r="H1446" i="6"/>
  <c r="J1446" i="6" s="1"/>
  <c r="G1446" i="6"/>
  <c r="I1446" i="6" s="1"/>
  <c r="E1446" i="6"/>
  <c r="H1445" i="6"/>
  <c r="J1445" i="6" s="1"/>
  <c r="G1445" i="6"/>
  <c r="I1445" i="6" s="1"/>
  <c r="E1445" i="6"/>
  <c r="H1444" i="6"/>
  <c r="J1444" i="6" s="1"/>
  <c r="G1444" i="6"/>
  <c r="I1444" i="6" s="1"/>
  <c r="E1444" i="6"/>
  <c r="H1443" i="6"/>
  <c r="J1443" i="6" s="1"/>
  <c r="G1443" i="6"/>
  <c r="I1443" i="6" s="1"/>
  <c r="E1443" i="6"/>
  <c r="H1442" i="6"/>
  <c r="J1442" i="6" s="1"/>
  <c r="G1442" i="6"/>
  <c r="I1442" i="6" s="1"/>
  <c r="E1442" i="6"/>
  <c r="H1441" i="6"/>
  <c r="J1441" i="6" s="1"/>
  <c r="G1441" i="6"/>
  <c r="I1441" i="6" s="1"/>
  <c r="E1441" i="6"/>
  <c r="H1440" i="6"/>
  <c r="J1440" i="6" s="1"/>
  <c r="G1440" i="6"/>
  <c r="I1440" i="6" s="1"/>
  <c r="E1440" i="6"/>
  <c r="H1439" i="6"/>
  <c r="J1439" i="6" s="1"/>
  <c r="G1439" i="6"/>
  <c r="I1439" i="6" s="1"/>
  <c r="E1439" i="6"/>
  <c r="H1438" i="6"/>
  <c r="J1438" i="6" s="1"/>
  <c r="G1438" i="6"/>
  <c r="I1438" i="6" s="1"/>
  <c r="E1438" i="6"/>
  <c r="H1437" i="6"/>
  <c r="J1437" i="6" s="1"/>
  <c r="G1437" i="6"/>
  <c r="I1437" i="6" s="1"/>
  <c r="E1437" i="6"/>
  <c r="H1436" i="6"/>
  <c r="J1436" i="6" s="1"/>
  <c r="G1436" i="6"/>
  <c r="I1436" i="6" s="1"/>
  <c r="E1436" i="6"/>
  <c r="H1435" i="6"/>
  <c r="J1435" i="6" s="1"/>
  <c r="G1435" i="6"/>
  <c r="I1435" i="6" s="1"/>
  <c r="E1435" i="6"/>
  <c r="H1434" i="6"/>
  <c r="J1434" i="6" s="1"/>
  <c r="G1434" i="6"/>
  <c r="I1434" i="6" s="1"/>
  <c r="E1434" i="6"/>
  <c r="H1433" i="6"/>
  <c r="J1433" i="6" s="1"/>
  <c r="G1433" i="6"/>
  <c r="I1433" i="6" s="1"/>
  <c r="E1433" i="6"/>
  <c r="H1432" i="6"/>
  <c r="J1432" i="6" s="1"/>
  <c r="G1432" i="6"/>
  <c r="I1432" i="6" s="1"/>
  <c r="E1432" i="6"/>
  <c r="G1431" i="6"/>
  <c r="I1431" i="6" s="1"/>
  <c r="E1431" i="6"/>
  <c r="H1430" i="6"/>
  <c r="J1430" i="6" s="1"/>
  <c r="G1430" i="6"/>
  <c r="I1430" i="6" s="1"/>
  <c r="E1430" i="6"/>
  <c r="H1429" i="6"/>
  <c r="J1429" i="6" s="1"/>
  <c r="G1429" i="6"/>
  <c r="I1429" i="6" s="1"/>
  <c r="E1429" i="6"/>
  <c r="F1426" i="6"/>
  <c r="K1467" i="6" s="1"/>
  <c r="G1425" i="6"/>
  <c r="F1425" i="6"/>
  <c r="G1424" i="6"/>
  <c r="F1424" i="6"/>
  <c r="G1423" i="6"/>
  <c r="F1423" i="6"/>
  <c r="H1415" i="6"/>
  <c r="J1415" i="6" s="1"/>
  <c r="G1415" i="6"/>
  <c r="I1415" i="6" s="1"/>
  <c r="E1415" i="6"/>
  <c r="H1414" i="6"/>
  <c r="J1414" i="6" s="1"/>
  <c r="G1414" i="6"/>
  <c r="I1414" i="6" s="1"/>
  <c r="E1414" i="6"/>
  <c r="H1413" i="6"/>
  <c r="J1413" i="6" s="1"/>
  <c r="G1413" i="6"/>
  <c r="I1413" i="6" s="1"/>
  <c r="E1413" i="6"/>
  <c r="H1412" i="6"/>
  <c r="J1412" i="6" s="1"/>
  <c r="G1412" i="6"/>
  <c r="I1412" i="6" s="1"/>
  <c r="E1412" i="6"/>
  <c r="G1411" i="6"/>
  <c r="I1411" i="6" s="1"/>
  <c r="E1411" i="6"/>
  <c r="P1409" i="6"/>
  <c r="H1408" i="6"/>
  <c r="J1408" i="6" s="1"/>
  <c r="G1408" i="6"/>
  <c r="I1408" i="6" s="1"/>
  <c r="E1408" i="6"/>
  <c r="H1407" i="6"/>
  <c r="J1407" i="6" s="1"/>
  <c r="G1407" i="6"/>
  <c r="I1407" i="6" s="1"/>
  <c r="E1407" i="6"/>
  <c r="H1406" i="6"/>
  <c r="J1406" i="6" s="1"/>
  <c r="G1406" i="6"/>
  <c r="I1406" i="6" s="1"/>
  <c r="E1406" i="6"/>
  <c r="H1405" i="6"/>
  <c r="J1405" i="6" s="1"/>
  <c r="G1405" i="6"/>
  <c r="I1405" i="6" s="1"/>
  <c r="E1405" i="6"/>
  <c r="H1404" i="6"/>
  <c r="J1404" i="6" s="1"/>
  <c r="G1404" i="6"/>
  <c r="K1409" i="6" s="1"/>
  <c r="E1404" i="6"/>
  <c r="H1401" i="6"/>
  <c r="J1401" i="6" s="1"/>
  <c r="G1401" i="6"/>
  <c r="I1401" i="6" s="1"/>
  <c r="E1401" i="6"/>
  <c r="H1400" i="6"/>
  <c r="J1400" i="6" s="1"/>
  <c r="G1400" i="6"/>
  <c r="I1400" i="6" s="1"/>
  <c r="E1400" i="6"/>
  <c r="H1399" i="6"/>
  <c r="J1399" i="6" s="1"/>
  <c r="G1399" i="6"/>
  <c r="I1399" i="6" s="1"/>
  <c r="E1399" i="6"/>
  <c r="H1398" i="6"/>
  <c r="J1398" i="6" s="1"/>
  <c r="G1398" i="6"/>
  <c r="I1398" i="6" s="1"/>
  <c r="E1398" i="6"/>
  <c r="H1397" i="6"/>
  <c r="J1397" i="6" s="1"/>
  <c r="G1397" i="6"/>
  <c r="I1397" i="6" s="1"/>
  <c r="E1397" i="6"/>
  <c r="H1396" i="6"/>
  <c r="J1396" i="6" s="1"/>
  <c r="G1396" i="6"/>
  <c r="I1396" i="6" s="1"/>
  <c r="E1396" i="6"/>
  <c r="H1395" i="6"/>
  <c r="J1395" i="6" s="1"/>
  <c r="G1395" i="6"/>
  <c r="I1395" i="6" s="1"/>
  <c r="E1395" i="6"/>
  <c r="H1394" i="6"/>
  <c r="J1394" i="6" s="1"/>
  <c r="G1394" i="6"/>
  <c r="I1394" i="6" s="1"/>
  <c r="E1394" i="6"/>
  <c r="H1393" i="6"/>
  <c r="J1393" i="6" s="1"/>
  <c r="G1393" i="6"/>
  <c r="I1393" i="6" s="1"/>
  <c r="E1393" i="6"/>
  <c r="H1392" i="6"/>
  <c r="J1392" i="6" s="1"/>
  <c r="G1392" i="6"/>
  <c r="I1392" i="6" s="1"/>
  <c r="E1392" i="6"/>
  <c r="H1391" i="6"/>
  <c r="J1391" i="6" s="1"/>
  <c r="G1391" i="6"/>
  <c r="I1391" i="6" s="1"/>
  <c r="E1391" i="6"/>
  <c r="H1390" i="6"/>
  <c r="J1390" i="6" s="1"/>
  <c r="G1390" i="6"/>
  <c r="I1390" i="6" s="1"/>
  <c r="E1390" i="6"/>
  <c r="H1389" i="6"/>
  <c r="J1389" i="6" s="1"/>
  <c r="G1389" i="6"/>
  <c r="I1389" i="6" s="1"/>
  <c r="E1389" i="6"/>
  <c r="H1388" i="6"/>
  <c r="J1388" i="6" s="1"/>
  <c r="G1388" i="6"/>
  <c r="I1388" i="6" s="1"/>
  <c r="H1387" i="6"/>
  <c r="J1387" i="6" s="1"/>
  <c r="G1387" i="6"/>
  <c r="I1387" i="6" s="1"/>
  <c r="H1386" i="6"/>
  <c r="J1386" i="6" s="1"/>
  <c r="G1386" i="6"/>
  <c r="I1386" i="6" s="1"/>
  <c r="E1386" i="6"/>
  <c r="H1385" i="6"/>
  <c r="J1385" i="6" s="1"/>
  <c r="G1385" i="6"/>
  <c r="I1385" i="6" s="1"/>
  <c r="E1385" i="6"/>
  <c r="G1384" i="6"/>
  <c r="I1384" i="6" s="1"/>
  <c r="E1384" i="6"/>
  <c r="G1383" i="6"/>
  <c r="I1383" i="6" s="1"/>
  <c r="E1383" i="6"/>
  <c r="H1382" i="6"/>
  <c r="J1382" i="6" s="1"/>
  <c r="G1382" i="6"/>
  <c r="I1382" i="6" s="1"/>
  <c r="E1382" i="6"/>
  <c r="F1379" i="6"/>
  <c r="K1420" i="6" s="1"/>
  <c r="G1378" i="6"/>
  <c r="F1378" i="6"/>
  <c r="G1377" i="6"/>
  <c r="F1377" i="6"/>
  <c r="G1376" i="6"/>
  <c r="F1376" i="6"/>
  <c r="H1368" i="6"/>
  <c r="J1368" i="6" s="1"/>
  <c r="G1368" i="6"/>
  <c r="I1368" i="6" s="1"/>
  <c r="E1368" i="6"/>
  <c r="H1367" i="6"/>
  <c r="J1367" i="6" s="1"/>
  <c r="G1367" i="6"/>
  <c r="I1367" i="6" s="1"/>
  <c r="E1367" i="6"/>
  <c r="H1366" i="6"/>
  <c r="J1366" i="6" s="1"/>
  <c r="G1366" i="6"/>
  <c r="I1366" i="6" s="1"/>
  <c r="E1366" i="6"/>
  <c r="H1365" i="6"/>
  <c r="J1365" i="6" s="1"/>
  <c r="G1365" i="6"/>
  <c r="I1365" i="6" s="1"/>
  <c r="E1365" i="6"/>
  <c r="G1364" i="6"/>
  <c r="I1364" i="6" s="1"/>
  <c r="E1364" i="6"/>
  <c r="P1362" i="6"/>
  <c r="R1362" i="6" s="1"/>
  <c r="H1361" i="6"/>
  <c r="J1361" i="6" s="1"/>
  <c r="G1361" i="6"/>
  <c r="I1361" i="6" s="1"/>
  <c r="E1361" i="6"/>
  <c r="H1360" i="6"/>
  <c r="J1360" i="6" s="1"/>
  <c r="G1360" i="6"/>
  <c r="I1360" i="6" s="1"/>
  <c r="E1360" i="6"/>
  <c r="H1359" i="6"/>
  <c r="J1359" i="6" s="1"/>
  <c r="G1359" i="6"/>
  <c r="I1359" i="6" s="1"/>
  <c r="E1359" i="6"/>
  <c r="H1358" i="6"/>
  <c r="J1358" i="6" s="1"/>
  <c r="G1358" i="6"/>
  <c r="I1358" i="6" s="1"/>
  <c r="E1358" i="6"/>
  <c r="H1357" i="6"/>
  <c r="J1357" i="6" s="1"/>
  <c r="G1357" i="6"/>
  <c r="K1362" i="6" s="1"/>
  <c r="E1357" i="6"/>
  <c r="H1354" i="6"/>
  <c r="J1354" i="6" s="1"/>
  <c r="G1354" i="6"/>
  <c r="I1354" i="6" s="1"/>
  <c r="E1354" i="6"/>
  <c r="H1353" i="6"/>
  <c r="J1353" i="6" s="1"/>
  <c r="G1353" i="6"/>
  <c r="I1353" i="6" s="1"/>
  <c r="E1353" i="6"/>
  <c r="H1352" i="6"/>
  <c r="J1352" i="6" s="1"/>
  <c r="G1352" i="6"/>
  <c r="I1352" i="6" s="1"/>
  <c r="E1352" i="6"/>
  <c r="H1351" i="6"/>
  <c r="J1351" i="6" s="1"/>
  <c r="G1351" i="6"/>
  <c r="I1351" i="6" s="1"/>
  <c r="E1351" i="6"/>
  <c r="H1350" i="6"/>
  <c r="J1350" i="6" s="1"/>
  <c r="G1350" i="6"/>
  <c r="I1350" i="6" s="1"/>
  <c r="E1350" i="6"/>
  <c r="H1349" i="6"/>
  <c r="J1349" i="6" s="1"/>
  <c r="G1349" i="6"/>
  <c r="I1349" i="6" s="1"/>
  <c r="E1349" i="6"/>
  <c r="H1348" i="6"/>
  <c r="J1348" i="6" s="1"/>
  <c r="G1348" i="6"/>
  <c r="I1348" i="6" s="1"/>
  <c r="E1348" i="6"/>
  <c r="H1347" i="6"/>
  <c r="J1347" i="6" s="1"/>
  <c r="G1347" i="6"/>
  <c r="I1347" i="6" s="1"/>
  <c r="E1347" i="6"/>
  <c r="H1346" i="6"/>
  <c r="J1346" i="6" s="1"/>
  <c r="G1346" i="6"/>
  <c r="I1346" i="6" s="1"/>
  <c r="E1346" i="6"/>
  <c r="H1345" i="6"/>
  <c r="J1345" i="6" s="1"/>
  <c r="G1345" i="6"/>
  <c r="I1345" i="6" s="1"/>
  <c r="E1345" i="6"/>
  <c r="H1344" i="6"/>
  <c r="J1344" i="6" s="1"/>
  <c r="G1344" i="6"/>
  <c r="I1344" i="6" s="1"/>
  <c r="E1344" i="6"/>
  <c r="H1343" i="6"/>
  <c r="J1343" i="6" s="1"/>
  <c r="G1343" i="6"/>
  <c r="I1343" i="6" s="1"/>
  <c r="E1343" i="6"/>
  <c r="H1342" i="6"/>
  <c r="J1342" i="6" s="1"/>
  <c r="G1342" i="6"/>
  <c r="I1342" i="6" s="1"/>
  <c r="E1342" i="6"/>
  <c r="H1341" i="6"/>
  <c r="J1341" i="6" s="1"/>
  <c r="G1341" i="6"/>
  <c r="I1341" i="6" s="1"/>
  <c r="E1341" i="6"/>
  <c r="H1340" i="6"/>
  <c r="J1340" i="6" s="1"/>
  <c r="G1340" i="6"/>
  <c r="I1340" i="6" s="1"/>
  <c r="E1340" i="6"/>
  <c r="H1339" i="6"/>
  <c r="J1339" i="6" s="1"/>
  <c r="G1339" i="6"/>
  <c r="I1339" i="6" s="1"/>
  <c r="E1339" i="6"/>
  <c r="H1338" i="6"/>
  <c r="J1338" i="6" s="1"/>
  <c r="G1338" i="6"/>
  <c r="I1338" i="6" s="1"/>
  <c r="E1338" i="6"/>
  <c r="H1337" i="6"/>
  <c r="J1337" i="6" s="1"/>
  <c r="G1337" i="6"/>
  <c r="I1337" i="6" s="1"/>
  <c r="E1337" i="6"/>
  <c r="H1336" i="6"/>
  <c r="J1336" i="6" s="1"/>
  <c r="G1336" i="6"/>
  <c r="I1336" i="6" s="1"/>
  <c r="E1336" i="6"/>
  <c r="H1335" i="6"/>
  <c r="J1335" i="6" s="1"/>
  <c r="G1335" i="6"/>
  <c r="I1335" i="6" s="1"/>
  <c r="E1335" i="6"/>
  <c r="F1332" i="6"/>
  <c r="K1373" i="6" s="1"/>
  <c r="G1331" i="6"/>
  <c r="F1331" i="6"/>
  <c r="G1330" i="6"/>
  <c r="F1330" i="6"/>
  <c r="G1329" i="6"/>
  <c r="F1329" i="6"/>
  <c r="H1321" i="6"/>
  <c r="J1321" i="6" s="1"/>
  <c r="G1321" i="6"/>
  <c r="I1321" i="6" s="1"/>
  <c r="E1321" i="6"/>
  <c r="H1320" i="6"/>
  <c r="J1320" i="6" s="1"/>
  <c r="G1320" i="6"/>
  <c r="I1320" i="6" s="1"/>
  <c r="E1320" i="6"/>
  <c r="H1319" i="6"/>
  <c r="J1319" i="6" s="1"/>
  <c r="G1319" i="6"/>
  <c r="I1319" i="6" s="1"/>
  <c r="E1319" i="6"/>
  <c r="H1318" i="6"/>
  <c r="J1318" i="6" s="1"/>
  <c r="G1318" i="6"/>
  <c r="I1318" i="6" s="1"/>
  <c r="E1318" i="6"/>
  <c r="G1317" i="6"/>
  <c r="I1317" i="6" s="1"/>
  <c r="E1317" i="6"/>
  <c r="P1315" i="6"/>
  <c r="R1315" i="6" s="1"/>
  <c r="H1314" i="6"/>
  <c r="J1314" i="6" s="1"/>
  <c r="G1314" i="6"/>
  <c r="I1314" i="6" s="1"/>
  <c r="E1314" i="6"/>
  <c r="H1313" i="6"/>
  <c r="J1313" i="6" s="1"/>
  <c r="G1313" i="6"/>
  <c r="I1313" i="6" s="1"/>
  <c r="E1313" i="6"/>
  <c r="H1312" i="6"/>
  <c r="J1312" i="6" s="1"/>
  <c r="G1312" i="6"/>
  <c r="I1312" i="6" s="1"/>
  <c r="E1312" i="6"/>
  <c r="H1311" i="6"/>
  <c r="J1311" i="6" s="1"/>
  <c r="G1311" i="6"/>
  <c r="I1311" i="6" s="1"/>
  <c r="E1311" i="6"/>
  <c r="H1310" i="6"/>
  <c r="J1310" i="6" s="1"/>
  <c r="G1310" i="6"/>
  <c r="K1315" i="6" s="1"/>
  <c r="E1310" i="6"/>
  <c r="H1307" i="6"/>
  <c r="J1307" i="6" s="1"/>
  <c r="G1307" i="6"/>
  <c r="I1307" i="6" s="1"/>
  <c r="E1307" i="6"/>
  <c r="H1306" i="6"/>
  <c r="J1306" i="6" s="1"/>
  <c r="G1306" i="6"/>
  <c r="I1306" i="6" s="1"/>
  <c r="E1306" i="6"/>
  <c r="H1305" i="6"/>
  <c r="J1305" i="6" s="1"/>
  <c r="G1305" i="6"/>
  <c r="I1305" i="6" s="1"/>
  <c r="E1305" i="6"/>
  <c r="H1304" i="6"/>
  <c r="J1304" i="6" s="1"/>
  <c r="G1304" i="6"/>
  <c r="I1304" i="6" s="1"/>
  <c r="E1304" i="6"/>
  <c r="H1303" i="6"/>
  <c r="J1303" i="6" s="1"/>
  <c r="G1303" i="6"/>
  <c r="I1303" i="6" s="1"/>
  <c r="E1303" i="6"/>
  <c r="H1302" i="6"/>
  <c r="J1302" i="6" s="1"/>
  <c r="G1302" i="6"/>
  <c r="I1302" i="6" s="1"/>
  <c r="E1302" i="6"/>
  <c r="H1301" i="6"/>
  <c r="J1301" i="6" s="1"/>
  <c r="G1301" i="6"/>
  <c r="I1301" i="6" s="1"/>
  <c r="E1301" i="6"/>
  <c r="H1300" i="6"/>
  <c r="J1300" i="6" s="1"/>
  <c r="G1300" i="6"/>
  <c r="I1300" i="6" s="1"/>
  <c r="E1300" i="6"/>
  <c r="H1299" i="6"/>
  <c r="J1299" i="6" s="1"/>
  <c r="G1299" i="6"/>
  <c r="I1299" i="6" s="1"/>
  <c r="E1299" i="6"/>
  <c r="H1298" i="6"/>
  <c r="J1298" i="6" s="1"/>
  <c r="G1298" i="6"/>
  <c r="I1298" i="6" s="1"/>
  <c r="E1298" i="6"/>
  <c r="H1297" i="6"/>
  <c r="J1297" i="6" s="1"/>
  <c r="G1297" i="6"/>
  <c r="I1297" i="6" s="1"/>
  <c r="E1297" i="6"/>
  <c r="H1296" i="6"/>
  <c r="J1296" i="6" s="1"/>
  <c r="G1296" i="6"/>
  <c r="I1296" i="6" s="1"/>
  <c r="E1296" i="6"/>
  <c r="H1295" i="6"/>
  <c r="J1295" i="6" s="1"/>
  <c r="G1295" i="6"/>
  <c r="I1295" i="6" s="1"/>
  <c r="E1295" i="6"/>
  <c r="H1294" i="6"/>
  <c r="J1294" i="6" s="1"/>
  <c r="G1294" i="6"/>
  <c r="I1294" i="6" s="1"/>
  <c r="E1294" i="6"/>
  <c r="H1293" i="6"/>
  <c r="J1293" i="6" s="1"/>
  <c r="G1293" i="6"/>
  <c r="I1293" i="6" s="1"/>
  <c r="E1293" i="6"/>
  <c r="H1292" i="6"/>
  <c r="J1292" i="6" s="1"/>
  <c r="G1292" i="6"/>
  <c r="I1292" i="6" s="1"/>
  <c r="E1292" i="6"/>
  <c r="H1291" i="6"/>
  <c r="J1291" i="6" s="1"/>
  <c r="G1291" i="6"/>
  <c r="I1291" i="6" s="1"/>
  <c r="E1291" i="6"/>
  <c r="H1290" i="6"/>
  <c r="J1290" i="6" s="1"/>
  <c r="G1290" i="6"/>
  <c r="I1290" i="6" s="1"/>
  <c r="E1290" i="6"/>
  <c r="H1289" i="6"/>
  <c r="J1289" i="6" s="1"/>
  <c r="G1289" i="6"/>
  <c r="I1289" i="6" s="1"/>
  <c r="E1289" i="6"/>
  <c r="H1288" i="6"/>
  <c r="J1288" i="6" s="1"/>
  <c r="G1288" i="6"/>
  <c r="I1288" i="6" s="1"/>
  <c r="E1288" i="6"/>
  <c r="F1285" i="6"/>
  <c r="K1326" i="6" s="1"/>
  <c r="G1284" i="6"/>
  <c r="F1284" i="6"/>
  <c r="G1283" i="6"/>
  <c r="F1283" i="6"/>
  <c r="G1282" i="6"/>
  <c r="F1282" i="6"/>
  <c r="H1274" i="6"/>
  <c r="J1274" i="6" s="1"/>
  <c r="G1274" i="6"/>
  <c r="I1274" i="6" s="1"/>
  <c r="E1274" i="6"/>
  <c r="H1273" i="6"/>
  <c r="J1273" i="6" s="1"/>
  <c r="G1273" i="6"/>
  <c r="I1273" i="6" s="1"/>
  <c r="E1273" i="6"/>
  <c r="H1272" i="6"/>
  <c r="J1272" i="6" s="1"/>
  <c r="G1272" i="6"/>
  <c r="I1272" i="6" s="1"/>
  <c r="E1272" i="6"/>
  <c r="H1271" i="6"/>
  <c r="J1271" i="6" s="1"/>
  <c r="G1271" i="6"/>
  <c r="I1271" i="6" s="1"/>
  <c r="E1271" i="6"/>
  <c r="G1270" i="6"/>
  <c r="I1270" i="6" s="1"/>
  <c r="E1270" i="6"/>
  <c r="P1268" i="6"/>
  <c r="R1268" i="6" s="1"/>
  <c r="H1267" i="6"/>
  <c r="J1267" i="6" s="1"/>
  <c r="G1267" i="6"/>
  <c r="I1267" i="6" s="1"/>
  <c r="E1267" i="6"/>
  <c r="H1266" i="6"/>
  <c r="J1266" i="6" s="1"/>
  <c r="G1266" i="6"/>
  <c r="I1266" i="6" s="1"/>
  <c r="E1266" i="6"/>
  <c r="H1265" i="6"/>
  <c r="J1265" i="6" s="1"/>
  <c r="G1265" i="6"/>
  <c r="I1265" i="6" s="1"/>
  <c r="E1265" i="6"/>
  <c r="H1264" i="6"/>
  <c r="J1264" i="6" s="1"/>
  <c r="G1264" i="6"/>
  <c r="I1264" i="6" s="1"/>
  <c r="E1264" i="6"/>
  <c r="H1263" i="6"/>
  <c r="J1263" i="6" s="1"/>
  <c r="G1263" i="6"/>
  <c r="K1268" i="6" s="1"/>
  <c r="E1263" i="6"/>
  <c r="H1260" i="6"/>
  <c r="J1260" i="6" s="1"/>
  <c r="G1260" i="6"/>
  <c r="I1260" i="6" s="1"/>
  <c r="E1260" i="6"/>
  <c r="H1259" i="6"/>
  <c r="J1259" i="6" s="1"/>
  <c r="G1259" i="6"/>
  <c r="I1259" i="6" s="1"/>
  <c r="E1259" i="6"/>
  <c r="H1258" i="6"/>
  <c r="J1258" i="6" s="1"/>
  <c r="G1258" i="6"/>
  <c r="I1258" i="6" s="1"/>
  <c r="E1258" i="6"/>
  <c r="H1257" i="6"/>
  <c r="J1257" i="6" s="1"/>
  <c r="G1257" i="6"/>
  <c r="I1257" i="6" s="1"/>
  <c r="E1257" i="6"/>
  <c r="H1256" i="6"/>
  <c r="J1256" i="6" s="1"/>
  <c r="G1256" i="6"/>
  <c r="I1256" i="6" s="1"/>
  <c r="E1256" i="6"/>
  <c r="H1255" i="6"/>
  <c r="J1255" i="6" s="1"/>
  <c r="G1255" i="6"/>
  <c r="I1255" i="6" s="1"/>
  <c r="E1255" i="6"/>
  <c r="H1254" i="6"/>
  <c r="J1254" i="6" s="1"/>
  <c r="G1254" i="6"/>
  <c r="I1254" i="6" s="1"/>
  <c r="E1254" i="6"/>
  <c r="H1253" i="6"/>
  <c r="J1253" i="6" s="1"/>
  <c r="G1253" i="6"/>
  <c r="I1253" i="6" s="1"/>
  <c r="E1253" i="6"/>
  <c r="H1252" i="6"/>
  <c r="J1252" i="6" s="1"/>
  <c r="G1252" i="6"/>
  <c r="I1252" i="6" s="1"/>
  <c r="E1252" i="6"/>
  <c r="H1251" i="6"/>
  <c r="J1251" i="6" s="1"/>
  <c r="G1251" i="6"/>
  <c r="I1251" i="6" s="1"/>
  <c r="E1251" i="6"/>
  <c r="H1250" i="6"/>
  <c r="J1250" i="6" s="1"/>
  <c r="G1250" i="6"/>
  <c r="I1250" i="6" s="1"/>
  <c r="E1250" i="6"/>
  <c r="H1249" i="6"/>
  <c r="J1249" i="6" s="1"/>
  <c r="G1249" i="6"/>
  <c r="I1249" i="6" s="1"/>
  <c r="E1249" i="6"/>
  <c r="H1248" i="6"/>
  <c r="J1248" i="6" s="1"/>
  <c r="G1248" i="6"/>
  <c r="I1248" i="6" s="1"/>
  <c r="E1248" i="6"/>
  <c r="H1247" i="6"/>
  <c r="J1247" i="6" s="1"/>
  <c r="G1247" i="6"/>
  <c r="I1247" i="6" s="1"/>
  <c r="E1247" i="6"/>
  <c r="H1246" i="6"/>
  <c r="J1246" i="6" s="1"/>
  <c r="G1246" i="6"/>
  <c r="I1246" i="6" s="1"/>
  <c r="E1246" i="6"/>
  <c r="H1245" i="6"/>
  <c r="J1245" i="6" s="1"/>
  <c r="G1245" i="6"/>
  <c r="I1245" i="6" s="1"/>
  <c r="E1245" i="6"/>
  <c r="G1244" i="6"/>
  <c r="I1244" i="6" s="1"/>
  <c r="E1244" i="6"/>
  <c r="H1243" i="6"/>
  <c r="J1243" i="6" s="1"/>
  <c r="G1243" i="6"/>
  <c r="I1243" i="6" s="1"/>
  <c r="E1243" i="6"/>
  <c r="H1242" i="6"/>
  <c r="J1242" i="6" s="1"/>
  <c r="G1242" i="6"/>
  <c r="I1242" i="6" s="1"/>
  <c r="E1242" i="6"/>
  <c r="H1241" i="6"/>
  <c r="J1241" i="6" s="1"/>
  <c r="G1241" i="6"/>
  <c r="I1241" i="6" s="1"/>
  <c r="E1241" i="6"/>
  <c r="F1238" i="6"/>
  <c r="K1279" i="6" s="1"/>
  <c r="G1237" i="6"/>
  <c r="F1237" i="6"/>
  <c r="G1236" i="6"/>
  <c r="F1236" i="6"/>
  <c r="G1235" i="6"/>
  <c r="F1235" i="6"/>
  <c r="H1227" i="6"/>
  <c r="J1227" i="6" s="1"/>
  <c r="G1227" i="6"/>
  <c r="I1227" i="6" s="1"/>
  <c r="E1227" i="6"/>
  <c r="H1226" i="6"/>
  <c r="J1226" i="6" s="1"/>
  <c r="G1226" i="6"/>
  <c r="I1226" i="6" s="1"/>
  <c r="E1226" i="6"/>
  <c r="H1225" i="6"/>
  <c r="J1225" i="6" s="1"/>
  <c r="G1225" i="6"/>
  <c r="I1225" i="6" s="1"/>
  <c r="E1225" i="6"/>
  <c r="H1224" i="6"/>
  <c r="J1224" i="6" s="1"/>
  <c r="G1224" i="6"/>
  <c r="I1224" i="6" s="1"/>
  <c r="E1224" i="6"/>
  <c r="G1223" i="6"/>
  <c r="I1223" i="6" s="1"/>
  <c r="E1223" i="6"/>
  <c r="P1221" i="6"/>
  <c r="R1221" i="6" s="1"/>
  <c r="H1220" i="6"/>
  <c r="J1220" i="6" s="1"/>
  <c r="G1220" i="6"/>
  <c r="I1220" i="6" s="1"/>
  <c r="E1220" i="6"/>
  <c r="H1219" i="6"/>
  <c r="J1219" i="6" s="1"/>
  <c r="G1219" i="6"/>
  <c r="I1219" i="6" s="1"/>
  <c r="E1219" i="6"/>
  <c r="H1218" i="6"/>
  <c r="J1218" i="6" s="1"/>
  <c r="G1218" i="6"/>
  <c r="I1218" i="6" s="1"/>
  <c r="E1218" i="6"/>
  <c r="H1217" i="6"/>
  <c r="J1217" i="6" s="1"/>
  <c r="G1217" i="6"/>
  <c r="I1217" i="6" s="1"/>
  <c r="E1217" i="6"/>
  <c r="H1216" i="6"/>
  <c r="J1216" i="6" s="1"/>
  <c r="G1216" i="6"/>
  <c r="K1221" i="6" s="1"/>
  <c r="E1216" i="6"/>
  <c r="H1213" i="6"/>
  <c r="J1213" i="6" s="1"/>
  <c r="G1213" i="6"/>
  <c r="I1213" i="6" s="1"/>
  <c r="E1213" i="6"/>
  <c r="H1212" i="6"/>
  <c r="J1212" i="6" s="1"/>
  <c r="G1212" i="6"/>
  <c r="I1212" i="6" s="1"/>
  <c r="E1212" i="6"/>
  <c r="H1211" i="6"/>
  <c r="J1211" i="6" s="1"/>
  <c r="G1211" i="6"/>
  <c r="I1211" i="6" s="1"/>
  <c r="E1211" i="6"/>
  <c r="H1210" i="6"/>
  <c r="J1210" i="6" s="1"/>
  <c r="G1210" i="6"/>
  <c r="I1210" i="6" s="1"/>
  <c r="E1210" i="6"/>
  <c r="H1209" i="6"/>
  <c r="J1209" i="6" s="1"/>
  <c r="G1209" i="6"/>
  <c r="I1209" i="6" s="1"/>
  <c r="E1209" i="6"/>
  <c r="H1208" i="6"/>
  <c r="J1208" i="6" s="1"/>
  <c r="G1208" i="6"/>
  <c r="I1208" i="6" s="1"/>
  <c r="E1208" i="6"/>
  <c r="H1207" i="6"/>
  <c r="J1207" i="6" s="1"/>
  <c r="G1207" i="6"/>
  <c r="I1207" i="6" s="1"/>
  <c r="E1207" i="6"/>
  <c r="H1206" i="6"/>
  <c r="J1206" i="6" s="1"/>
  <c r="G1206" i="6"/>
  <c r="I1206" i="6" s="1"/>
  <c r="E1206" i="6"/>
  <c r="H1205" i="6"/>
  <c r="J1205" i="6" s="1"/>
  <c r="G1205" i="6"/>
  <c r="I1205" i="6" s="1"/>
  <c r="E1205" i="6"/>
  <c r="H1204" i="6"/>
  <c r="J1204" i="6" s="1"/>
  <c r="G1204" i="6"/>
  <c r="I1204" i="6" s="1"/>
  <c r="E1204" i="6"/>
  <c r="H1203" i="6"/>
  <c r="J1203" i="6" s="1"/>
  <c r="G1203" i="6"/>
  <c r="I1203" i="6" s="1"/>
  <c r="E1203" i="6"/>
  <c r="H1202" i="6"/>
  <c r="J1202" i="6" s="1"/>
  <c r="G1202" i="6"/>
  <c r="I1202" i="6" s="1"/>
  <c r="E1202" i="6"/>
  <c r="H1201" i="6"/>
  <c r="J1201" i="6" s="1"/>
  <c r="G1201" i="6"/>
  <c r="I1201" i="6" s="1"/>
  <c r="E1201" i="6"/>
  <c r="H1200" i="6"/>
  <c r="J1200" i="6" s="1"/>
  <c r="G1200" i="6"/>
  <c r="I1200" i="6" s="1"/>
  <c r="E1200" i="6"/>
  <c r="H1199" i="6"/>
  <c r="J1199" i="6" s="1"/>
  <c r="G1199" i="6"/>
  <c r="I1199" i="6" s="1"/>
  <c r="E1199" i="6"/>
  <c r="H1198" i="6"/>
  <c r="J1198" i="6" s="1"/>
  <c r="G1198" i="6"/>
  <c r="I1198" i="6" s="1"/>
  <c r="E1198" i="6"/>
  <c r="H1197" i="6"/>
  <c r="J1197" i="6" s="1"/>
  <c r="G1197" i="6"/>
  <c r="I1197" i="6" s="1"/>
  <c r="E1197" i="6"/>
  <c r="H1196" i="6"/>
  <c r="J1196" i="6" s="1"/>
  <c r="G1196" i="6"/>
  <c r="I1196" i="6" s="1"/>
  <c r="E1196" i="6"/>
  <c r="H1195" i="6"/>
  <c r="J1195" i="6" s="1"/>
  <c r="G1195" i="6"/>
  <c r="I1195" i="6" s="1"/>
  <c r="E1195" i="6"/>
  <c r="H1194" i="6"/>
  <c r="J1194" i="6" s="1"/>
  <c r="G1194" i="6"/>
  <c r="I1194" i="6" s="1"/>
  <c r="E1194" i="6"/>
  <c r="F1191" i="6"/>
  <c r="K1232" i="6" s="1"/>
  <c r="G1190" i="6"/>
  <c r="F1190" i="6"/>
  <c r="G1189" i="6"/>
  <c r="F1189" i="6"/>
  <c r="G1188" i="6"/>
  <c r="F1188" i="6"/>
  <c r="H1180" i="6"/>
  <c r="J1180" i="6" s="1"/>
  <c r="G1180" i="6"/>
  <c r="I1180" i="6" s="1"/>
  <c r="E1180" i="6"/>
  <c r="H1179" i="6"/>
  <c r="J1179" i="6" s="1"/>
  <c r="G1179" i="6"/>
  <c r="I1179" i="6" s="1"/>
  <c r="E1179" i="6"/>
  <c r="H1178" i="6"/>
  <c r="J1178" i="6" s="1"/>
  <c r="G1178" i="6"/>
  <c r="I1178" i="6" s="1"/>
  <c r="E1178" i="6"/>
  <c r="H1177" i="6"/>
  <c r="J1177" i="6" s="1"/>
  <c r="G1177" i="6"/>
  <c r="I1177" i="6" s="1"/>
  <c r="E1177" i="6"/>
  <c r="G1176" i="6"/>
  <c r="I1176" i="6" s="1"/>
  <c r="E1176" i="6"/>
  <c r="P1174" i="6"/>
  <c r="H1173" i="6"/>
  <c r="J1173" i="6" s="1"/>
  <c r="G1173" i="6"/>
  <c r="I1173" i="6" s="1"/>
  <c r="E1173" i="6"/>
  <c r="H1172" i="6"/>
  <c r="J1172" i="6" s="1"/>
  <c r="G1172" i="6"/>
  <c r="I1172" i="6" s="1"/>
  <c r="E1172" i="6"/>
  <c r="H1171" i="6"/>
  <c r="J1171" i="6" s="1"/>
  <c r="G1171" i="6"/>
  <c r="I1171" i="6" s="1"/>
  <c r="E1171" i="6"/>
  <c r="H1170" i="6"/>
  <c r="J1170" i="6" s="1"/>
  <c r="G1170" i="6"/>
  <c r="I1170" i="6" s="1"/>
  <c r="E1170" i="6"/>
  <c r="H1169" i="6"/>
  <c r="J1169" i="6" s="1"/>
  <c r="G1169" i="6"/>
  <c r="K1174" i="6" s="1"/>
  <c r="E1169" i="6"/>
  <c r="H1166" i="6"/>
  <c r="J1166" i="6" s="1"/>
  <c r="G1166" i="6"/>
  <c r="I1166" i="6" s="1"/>
  <c r="E1166" i="6"/>
  <c r="H1165" i="6"/>
  <c r="J1165" i="6" s="1"/>
  <c r="G1165" i="6"/>
  <c r="I1165" i="6" s="1"/>
  <c r="E1165" i="6"/>
  <c r="H1164" i="6"/>
  <c r="J1164" i="6" s="1"/>
  <c r="G1164" i="6"/>
  <c r="I1164" i="6" s="1"/>
  <c r="E1164" i="6"/>
  <c r="H1163" i="6"/>
  <c r="J1163" i="6" s="1"/>
  <c r="G1163" i="6"/>
  <c r="I1163" i="6" s="1"/>
  <c r="E1163" i="6"/>
  <c r="H1162" i="6"/>
  <c r="J1162" i="6" s="1"/>
  <c r="G1162" i="6"/>
  <c r="I1162" i="6" s="1"/>
  <c r="E1162" i="6"/>
  <c r="H1161" i="6"/>
  <c r="J1161" i="6" s="1"/>
  <c r="G1161" i="6"/>
  <c r="I1161" i="6" s="1"/>
  <c r="E1161" i="6"/>
  <c r="H1160" i="6"/>
  <c r="J1160" i="6" s="1"/>
  <c r="G1160" i="6"/>
  <c r="I1160" i="6" s="1"/>
  <c r="E1160" i="6"/>
  <c r="H1159" i="6"/>
  <c r="J1159" i="6" s="1"/>
  <c r="G1159" i="6"/>
  <c r="I1159" i="6" s="1"/>
  <c r="E1159" i="6"/>
  <c r="H1158" i="6"/>
  <c r="J1158" i="6" s="1"/>
  <c r="G1158" i="6"/>
  <c r="I1158" i="6" s="1"/>
  <c r="E1158" i="6"/>
  <c r="H1157" i="6"/>
  <c r="J1157" i="6" s="1"/>
  <c r="G1157" i="6"/>
  <c r="I1157" i="6" s="1"/>
  <c r="E1157" i="6"/>
  <c r="H1156" i="6"/>
  <c r="J1156" i="6" s="1"/>
  <c r="G1156" i="6"/>
  <c r="I1156" i="6" s="1"/>
  <c r="E1156" i="6"/>
  <c r="H1155" i="6"/>
  <c r="J1155" i="6" s="1"/>
  <c r="G1155" i="6"/>
  <c r="I1155" i="6" s="1"/>
  <c r="E1155" i="6"/>
  <c r="H1154" i="6"/>
  <c r="J1154" i="6" s="1"/>
  <c r="G1154" i="6"/>
  <c r="I1154" i="6" s="1"/>
  <c r="E1154" i="6"/>
  <c r="H1153" i="6"/>
  <c r="J1153" i="6" s="1"/>
  <c r="G1153" i="6"/>
  <c r="I1153" i="6" s="1"/>
  <c r="E1153" i="6"/>
  <c r="H1152" i="6"/>
  <c r="J1152" i="6" s="1"/>
  <c r="G1152" i="6"/>
  <c r="I1152" i="6" s="1"/>
  <c r="E1152" i="6"/>
  <c r="H1151" i="6"/>
  <c r="J1151" i="6" s="1"/>
  <c r="G1151" i="6"/>
  <c r="I1151" i="6" s="1"/>
  <c r="E1151" i="6"/>
  <c r="G1150" i="6"/>
  <c r="I1150" i="6" s="1"/>
  <c r="E1150" i="6"/>
  <c r="H1149" i="6"/>
  <c r="J1149" i="6" s="1"/>
  <c r="G1149" i="6"/>
  <c r="I1149" i="6" s="1"/>
  <c r="E1149" i="6"/>
  <c r="H1148" i="6"/>
  <c r="J1148" i="6" s="1"/>
  <c r="G1148" i="6"/>
  <c r="I1148" i="6" s="1"/>
  <c r="E1148" i="6"/>
  <c r="H1147" i="6"/>
  <c r="J1147" i="6" s="1"/>
  <c r="G1147" i="6"/>
  <c r="I1147" i="6" s="1"/>
  <c r="E1147" i="6"/>
  <c r="F1144" i="6"/>
  <c r="K1185" i="6" s="1"/>
  <c r="G1143" i="6"/>
  <c r="F1143" i="6"/>
  <c r="G1142" i="6"/>
  <c r="F1142" i="6"/>
  <c r="G1141" i="6"/>
  <c r="F1141" i="6"/>
  <c r="H1133" i="6"/>
  <c r="J1133" i="6" s="1"/>
  <c r="G1133" i="6"/>
  <c r="I1133" i="6" s="1"/>
  <c r="E1133" i="6"/>
  <c r="H1132" i="6"/>
  <c r="J1132" i="6" s="1"/>
  <c r="G1132" i="6"/>
  <c r="I1132" i="6" s="1"/>
  <c r="E1132" i="6"/>
  <c r="H1131" i="6"/>
  <c r="J1131" i="6" s="1"/>
  <c r="G1131" i="6"/>
  <c r="I1131" i="6" s="1"/>
  <c r="E1131" i="6"/>
  <c r="H1130" i="6"/>
  <c r="J1130" i="6" s="1"/>
  <c r="G1130" i="6"/>
  <c r="I1130" i="6" s="1"/>
  <c r="E1130" i="6"/>
  <c r="G1129" i="6"/>
  <c r="I1129" i="6" s="1"/>
  <c r="E1129" i="6"/>
  <c r="P1127" i="6"/>
  <c r="R1127" i="6" s="1"/>
  <c r="H1126" i="6"/>
  <c r="J1126" i="6" s="1"/>
  <c r="G1126" i="6"/>
  <c r="I1126" i="6" s="1"/>
  <c r="E1126" i="6"/>
  <c r="H1125" i="6"/>
  <c r="J1125" i="6" s="1"/>
  <c r="G1125" i="6"/>
  <c r="I1125" i="6" s="1"/>
  <c r="E1125" i="6"/>
  <c r="H1124" i="6"/>
  <c r="J1124" i="6" s="1"/>
  <c r="G1124" i="6"/>
  <c r="I1124" i="6" s="1"/>
  <c r="E1124" i="6"/>
  <c r="H1123" i="6"/>
  <c r="J1123" i="6" s="1"/>
  <c r="G1123" i="6"/>
  <c r="I1123" i="6" s="1"/>
  <c r="E1123" i="6"/>
  <c r="H1122" i="6"/>
  <c r="J1122" i="6" s="1"/>
  <c r="G1122" i="6"/>
  <c r="K1127" i="6" s="1"/>
  <c r="E1122" i="6"/>
  <c r="H1119" i="6"/>
  <c r="J1119" i="6" s="1"/>
  <c r="G1119" i="6"/>
  <c r="I1119" i="6" s="1"/>
  <c r="E1119" i="6"/>
  <c r="H1118" i="6"/>
  <c r="J1118" i="6" s="1"/>
  <c r="G1118" i="6"/>
  <c r="I1118" i="6" s="1"/>
  <c r="E1118" i="6"/>
  <c r="H1117" i="6"/>
  <c r="J1117" i="6" s="1"/>
  <c r="G1117" i="6"/>
  <c r="I1117" i="6" s="1"/>
  <c r="E1117" i="6"/>
  <c r="H1116" i="6"/>
  <c r="J1116" i="6" s="1"/>
  <c r="G1116" i="6"/>
  <c r="I1116" i="6" s="1"/>
  <c r="E1116" i="6"/>
  <c r="H1115" i="6"/>
  <c r="J1115" i="6" s="1"/>
  <c r="G1115" i="6"/>
  <c r="I1115" i="6" s="1"/>
  <c r="E1115" i="6"/>
  <c r="H1114" i="6"/>
  <c r="J1114" i="6" s="1"/>
  <c r="G1114" i="6"/>
  <c r="I1114" i="6" s="1"/>
  <c r="E1114" i="6"/>
  <c r="H1113" i="6"/>
  <c r="J1113" i="6" s="1"/>
  <c r="G1113" i="6"/>
  <c r="I1113" i="6" s="1"/>
  <c r="E1113" i="6"/>
  <c r="H1112" i="6"/>
  <c r="J1112" i="6" s="1"/>
  <c r="G1112" i="6"/>
  <c r="I1112" i="6" s="1"/>
  <c r="E1112" i="6"/>
  <c r="H1111" i="6"/>
  <c r="J1111" i="6" s="1"/>
  <c r="G1111" i="6"/>
  <c r="I1111" i="6" s="1"/>
  <c r="E1111" i="6"/>
  <c r="H1110" i="6"/>
  <c r="J1110" i="6" s="1"/>
  <c r="G1110" i="6"/>
  <c r="I1110" i="6" s="1"/>
  <c r="E1110" i="6"/>
  <c r="H1109" i="6"/>
  <c r="J1109" i="6" s="1"/>
  <c r="G1109" i="6"/>
  <c r="I1109" i="6" s="1"/>
  <c r="E1109" i="6"/>
  <c r="H1108" i="6"/>
  <c r="J1108" i="6" s="1"/>
  <c r="G1108" i="6"/>
  <c r="I1108" i="6" s="1"/>
  <c r="E1108" i="6"/>
  <c r="H1107" i="6"/>
  <c r="J1107" i="6" s="1"/>
  <c r="G1107" i="6"/>
  <c r="I1107" i="6" s="1"/>
  <c r="E1107" i="6"/>
  <c r="H1106" i="6"/>
  <c r="J1106" i="6" s="1"/>
  <c r="G1106" i="6"/>
  <c r="I1106" i="6" s="1"/>
  <c r="E1106" i="6"/>
  <c r="H1105" i="6"/>
  <c r="J1105" i="6" s="1"/>
  <c r="G1105" i="6"/>
  <c r="I1105" i="6" s="1"/>
  <c r="E1105" i="6"/>
  <c r="H1104" i="6"/>
  <c r="J1104" i="6" s="1"/>
  <c r="G1104" i="6"/>
  <c r="I1104" i="6" s="1"/>
  <c r="E1104" i="6"/>
  <c r="H1103" i="6"/>
  <c r="J1103" i="6" s="1"/>
  <c r="G1103" i="6"/>
  <c r="I1103" i="6" s="1"/>
  <c r="E1103" i="6"/>
  <c r="H1102" i="6"/>
  <c r="J1102" i="6" s="1"/>
  <c r="G1102" i="6"/>
  <c r="I1102" i="6" s="1"/>
  <c r="E1102" i="6"/>
  <c r="H1101" i="6"/>
  <c r="J1101" i="6" s="1"/>
  <c r="G1101" i="6"/>
  <c r="I1101" i="6" s="1"/>
  <c r="E1101" i="6"/>
  <c r="H1100" i="6"/>
  <c r="J1100" i="6" s="1"/>
  <c r="G1100" i="6"/>
  <c r="I1100" i="6" s="1"/>
  <c r="E1100" i="6"/>
  <c r="F1097" i="6"/>
  <c r="K1138" i="6" s="1"/>
  <c r="G1096" i="6"/>
  <c r="F1096" i="6"/>
  <c r="G1095" i="6"/>
  <c r="F1095" i="6"/>
  <c r="G1094" i="6"/>
  <c r="F1094" i="6"/>
  <c r="H1086" i="6"/>
  <c r="J1086" i="6" s="1"/>
  <c r="G1086" i="6"/>
  <c r="I1086" i="6" s="1"/>
  <c r="E1086" i="6"/>
  <c r="H1085" i="6"/>
  <c r="J1085" i="6" s="1"/>
  <c r="G1085" i="6"/>
  <c r="I1085" i="6" s="1"/>
  <c r="E1085" i="6"/>
  <c r="H1084" i="6"/>
  <c r="J1084" i="6" s="1"/>
  <c r="G1084" i="6"/>
  <c r="I1084" i="6" s="1"/>
  <c r="E1084" i="6"/>
  <c r="H1083" i="6"/>
  <c r="J1083" i="6" s="1"/>
  <c r="G1083" i="6"/>
  <c r="I1083" i="6" s="1"/>
  <c r="E1083" i="6"/>
  <c r="G1082" i="6"/>
  <c r="I1082" i="6" s="1"/>
  <c r="E1082" i="6"/>
  <c r="P1080" i="6"/>
  <c r="R1080" i="6" s="1"/>
  <c r="H1079" i="6"/>
  <c r="J1079" i="6" s="1"/>
  <c r="G1079" i="6"/>
  <c r="I1079" i="6" s="1"/>
  <c r="E1079" i="6"/>
  <c r="H1078" i="6"/>
  <c r="J1078" i="6" s="1"/>
  <c r="G1078" i="6"/>
  <c r="I1078" i="6" s="1"/>
  <c r="E1078" i="6"/>
  <c r="H1077" i="6"/>
  <c r="J1077" i="6" s="1"/>
  <c r="G1077" i="6"/>
  <c r="I1077" i="6" s="1"/>
  <c r="E1077" i="6"/>
  <c r="H1076" i="6"/>
  <c r="J1076" i="6" s="1"/>
  <c r="G1076" i="6"/>
  <c r="I1076" i="6" s="1"/>
  <c r="E1076" i="6"/>
  <c r="H1075" i="6"/>
  <c r="J1075" i="6" s="1"/>
  <c r="G1075" i="6"/>
  <c r="K1080" i="6" s="1"/>
  <c r="E1075" i="6"/>
  <c r="H1072" i="6"/>
  <c r="J1072" i="6" s="1"/>
  <c r="G1072" i="6"/>
  <c r="I1072" i="6" s="1"/>
  <c r="E1072" i="6"/>
  <c r="H1071" i="6"/>
  <c r="J1071" i="6" s="1"/>
  <c r="G1071" i="6"/>
  <c r="I1071" i="6" s="1"/>
  <c r="E1071" i="6"/>
  <c r="H1070" i="6"/>
  <c r="J1070" i="6" s="1"/>
  <c r="G1070" i="6"/>
  <c r="I1070" i="6" s="1"/>
  <c r="E1070" i="6"/>
  <c r="H1069" i="6"/>
  <c r="J1069" i="6" s="1"/>
  <c r="G1069" i="6"/>
  <c r="I1069" i="6" s="1"/>
  <c r="E1069" i="6"/>
  <c r="H1068" i="6"/>
  <c r="J1068" i="6" s="1"/>
  <c r="G1068" i="6"/>
  <c r="I1068" i="6" s="1"/>
  <c r="E1068" i="6"/>
  <c r="H1067" i="6"/>
  <c r="J1067" i="6" s="1"/>
  <c r="G1067" i="6"/>
  <c r="I1067" i="6" s="1"/>
  <c r="E1067" i="6"/>
  <c r="H1066" i="6"/>
  <c r="J1066" i="6" s="1"/>
  <c r="G1066" i="6"/>
  <c r="I1066" i="6" s="1"/>
  <c r="E1066" i="6"/>
  <c r="H1065" i="6"/>
  <c r="J1065" i="6" s="1"/>
  <c r="G1065" i="6"/>
  <c r="I1065" i="6" s="1"/>
  <c r="E1065" i="6"/>
  <c r="H1064" i="6"/>
  <c r="J1064" i="6" s="1"/>
  <c r="G1064" i="6"/>
  <c r="I1064" i="6" s="1"/>
  <c r="E1064" i="6"/>
  <c r="H1063" i="6"/>
  <c r="J1063" i="6" s="1"/>
  <c r="G1063" i="6"/>
  <c r="I1063" i="6" s="1"/>
  <c r="E1063" i="6"/>
  <c r="H1062" i="6"/>
  <c r="J1062" i="6" s="1"/>
  <c r="G1062" i="6"/>
  <c r="I1062" i="6" s="1"/>
  <c r="E1062" i="6"/>
  <c r="H1061" i="6"/>
  <c r="J1061" i="6" s="1"/>
  <c r="G1061" i="6"/>
  <c r="I1061" i="6" s="1"/>
  <c r="E1061" i="6"/>
  <c r="H1060" i="6"/>
  <c r="J1060" i="6" s="1"/>
  <c r="G1060" i="6"/>
  <c r="I1060" i="6" s="1"/>
  <c r="E1060" i="6"/>
  <c r="H1059" i="6"/>
  <c r="J1059" i="6" s="1"/>
  <c r="G1059" i="6"/>
  <c r="I1059" i="6" s="1"/>
  <c r="E1059" i="6"/>
  <c r="H1058" i="6"/>
  <c r="J1058" i="6" s="1"/>
  <c r="G1058" i="6"/>
  <c r="I1058" i="6" s="1"/>
  <c r="E1058" i="6"/>
  <c r="H1057" i="6"/>
  <c r="J1057" i="6" s="1"/>
  <c r="G1057" i="6"/>
  <c r="I1057" i="6" s="1"/>
  <c r="E1057" i="6"/>
  <c r="H1056" i="6"/>
  <c r="J1056" i="6" s="1"/>
  <c r="G1056" i="6"/>
  <c r="I1056" i="6" s="1"/>
  <c r="E1056" i="6"/>
  <c r="H1055" i="6"/>
  <c r="J1055" i="6" s="1"/>
  <c r="G1055" i="6"/>
  <c r="I1055" i="6" s="1"/>
  <c r="E1055" i="6"/>
  <c r="H1054" i="6"/>
  <c r="J1054" i="6" s="1"/>
  <c r="G1054" i="6"/>
  <c r="I1054" i="6" s="1"/>
  <c r="E1054" i="6"/>
  <c r="H1053" i="6"/>
  <c r="J1053" i="6" s="1"/>
  <c r="G1053" i="6"/>
  <c r="I1053" i="6" s="1"/>
  <c r="E1053" i="6"/>
  <c r="F1050" i="6"/>
  <c r="K1091" i="6" s="1"/>
  <c r="G1049" i="6"/>
  <c r="F1049" i="6"/>
  <c r="G1048" i="6"/>
  <c r="F1048" i="6"/>
  <c r="G1047" i="6"/>
  <c r="F1047" i="6"/>
  <c r="H1039" i="6"/>
  <c r="J1039" i="6" s="1"/>
  <c r="G1039" i="6"/>
  <c r="I1039" i="6" s="1"/>
  <c r="E1039" i="6"/>
  <c r="H1038" i="6"/>
  <c r="J1038" i="6" s="1"/>
  <c r="G1038" i="6"/>
  <c r="I1038" i="6" s="1"/>
  <c r="E1038" i="6"/>
  <c r="H1037" i="6"/>
  <c r="J1037" i="6" s="1"/>
  <c r="G1037" i="6"/>
  <c r="I1037" i="6" s="1"/>
  <c r="E1037" i="6"/>
  <c r="H1036" i="6"/>
  <c r="J1036" i="6" s="1"/>
  <c r="G1036" i="6"/>
  <c r="I1036" i="6" s="1"/>
  <c r="E1036" i="6"/>
  <c r="G1035" i="6"/>
  <c r="I1035" i="6" s="1"/>
  <c r="E1035" i="6"/>
  <c r="P1033" i="6"/>
  <c r="R1033" i="6" s="1"/>
  <c r="H1032" i="6"/>
  <c r="J1032" i="6" s="1"/>
  <c r="G1032" i="6"/>
  <c r="I1032" i="6" s="1"/>
  <c r="E1032" i="6"/>
  <c r="H1031" i="6"/>
  <c r="J1031" i="6" s="1"/>
  <c r="G1031" i="6"/>
  <c r="I1031" i="6" s="1"/>
  <c r="E1031" i="6"/>
  <c r="H1030" i="6"/>
  <c r="J1030" i="6" s="1"/>
  <c r="G1030" i="6"/>
  <c r="I1030" i="6" s="1"/>
  <c r="E1030" i="6"/>
  <c r="H1029" i="6"/>
  <c r="J1029" i="6" s="1"/>
  <c r="G1029" i="6"/>
  <c r="I1029" i="6" s="1"/>
  <c r="E1029" i="6"/>
  <c r="H1028" i="6"/>
  <c r="J1028" i="6" s="1"/>
  <c r="G1028" i="6"/>
  <c r="K1033" i="6" s="1"/>
  <c r="E1028" i="6"/>
  <c r="H1025" i="6"/>
  <c r="J1025" i="6" s="1"/>
  <c r="G1025" i="6"/>
  <c r="I1025" i="6" s="1"/>
  <c r="E1025" i="6"/>
  <c r="H1024" i="6"/>
  <c r="J1024" i="6" s="1"/>
  <c r="G1024" i="6"/>
  <c r="I1024" i="6" s="1"/>
  <c r="E1024" i="6"/>
  <c r="H1023" i="6"/>
  <c r="J1023" i="6" s="1"/>
  <c r="G1023" i="6"/>
  <c r="I1023" i="6" s="1"/>
  <c r="E1023" i="6"/>
  <c r="H1022" i="6"/>
  <c r="J1022" i="6" s="1"/>
  <c r="G1022" i="6"/>
  <c r="I1022" i="6" s="1"/>
  <c r="E1022" i="6"/>
  <c r="H1021" i="6"/>
  <c r="J1021" i="6" s="1"/>
  <c r="G1021" i="6"/>
  <c r="I1021" i="6" s="1"/>
  <c r="E1021" i="6"/>
  <c r="H1020" i="6"/>
  <c r="J1020" i="6" s="1"/>
  <c r="G1020" i="6"/>
  <c r="I1020" i="6" s="1"/>
  <c r="E1020" i="6"/>
  <c r="H1019" i="6"/>
  <c r="J1019" i="6" s="1"/>
  <c r="G1019" i="6"/>
  <c r="I1019" i="6" s="1"/>
  <c r="E1019" i="6"/>
  <c r="H1018" i="6"/>
  <c r="J1018" i="6" s="1"/>
  <c r="G1018" i="6"/>
  <c r="I1018" i="6" s="1"/>
  <c r="E1018" i="6"/>
  <c r="H1017" i="6"/>
  <c r="J1017" i="6" s="1"/>
  <c r="G1017" i="6"/>
  <c r="I1017" i="6" s="1"/>
  <c r="E1017" i="6"/>
  <c r="H1016" i="6"/>
  <c r="J1016" i="6" s="1"/>
  <c r="G1016" i="6"/>
  <c r="I1016" i="6" s="1"/>
  <c r="E1016" i="6"/>
  <c r="H1015" i="6"/>
  <c r="J1015" i="6" s="1"/>
  <c r="G1015" i="6"/>
  <c r="I1015" i="6" s="1"/>
  <c r="E1015" i="6"/>
  <c r="H1014" i="6"/>
  <c r="J1014" i="6" s="1"/>
  <c r="G1014" i="6"/>
  <c r="I1014" i="6" s="1"/>
  <c r="E1014" i="6"/>
  <c r="H1013" i="6"/>
  <c r="J1013" i="6" s="1"/>
  <c r="G1013" i="6"/>
  <c r="I1013" i="6" s="1"/>
  <c r="E1013" i="6"/>
  <c r="H1012" i="6"/>
  <c r="J1012" i="6" s="1"/>
  <c r="G1012" i="6"/>
  <c r="I1012" i="6" s="1"/>
  <c r="E1012" i="6"/>
  <c r="H1011" i="6"/>
  <c r="J1011" i="6" s="1"/>
  <c r="G1011" i="6"/>
  <c r="I1011" i="6" s="1"/>
  <c r="E1011" i="6"/>
  <c r="H1010" i="6"/>
  <c r="J1010" i="6" s="1"/>
  <c r="G1010" i="6"/>
  <c r="I1010" i="6" s="1"/>
  <c r="E1010" i="6"/>
  <c r="H1009" i="6"/>
  <c r="J1009" i="6" s="1"/>
  <c r="G1009" i="6"/>
  <c r="I1009" i="6" s="1"/>
  <c r="E1009" i="6"/>
  <c r="H1008" i="6"/>
  <c r="J1008" i="6" s="1"/>
  <c r="G1008" i="6"/>
  <c r="I1008" i="6" s="1"/>
  <c r="E1008" i="6"/>
  <c r="H1007" i="6"/>
  <c r="J1007" i="6" s="1"/>
  <c r="G1007" i="6"/>
  <c r="I1007" i="6" s="1"/>
  <c r="E1007" i="6"/>
  <c r="H1006" i="6"/>
  <c r="J1006" i="6" s="1"/>
  <c r="G1006" i="6"/>
  <c r="I1006" i="6" s="1"/>
  <c r="E1006" i="6"/>
  <c r="F1003" i="6"/>
  <c r="K1044" i="6" s="1"/>
  <c r="G1002" i="6"/>
  <c r="F1002" i="6"/>
  <c r="G1001" i="6"/>
  <c r="F1001" i="6"/>
  <c r="G1000" i="6"/>
  <c r="F1000" i="6"/>
  <c r="H992" i="6"/>
  <c r="J992" i="6" s="1"/>
  <c r="G992" i="6"/>
  <c r="I992" i="6" s="1"/>
  <c r="E992" i="6"/>
  <c r="H991" i="6"/>
  <c r="J991" i="6" s="1"/>
  <c r="G991" i="6"/>
  <c r="I991" i="6" s="1"/>
  <c r="E991" i="6"/>
  <c r="H990" i="6"/>
  <c r="J990" i="6" s="1"/>
  <c r="G990" i="6"/>
  <c r="I990" i="6" s="1"/>
  <c r="E990" i="6"/>
  <c r="H989" i="6"/>
  <c r="J989" i="6" s="1"/>
  <c r="G989" i="6"/>
  <c r="I989" i="6" s="1"/>
  <c r="E989" i="6"/>
  <c r="G988" i="6"/>
  <c r="I988" i="6" s="1"/>
  <c r="E988" i="6"/>
  <c r="P986" i="6"/>
  <c r="R986" i="6" s="1"/>
  <c r="H985" i="6"/>
  <c r="J985" i="6" s="1"/>
  <c r="G985" i="6"/>
  <c r="I985" i="6" s="1"/>
  <c r="E985" i="6"/>
  <c r="H984" i="6"/>
  <c r="J984" i="6" s="1"/>
  <c r="G984" i="6"/>
  <c r="I984" i="6" s="1"/>
  <c r="E984" i="6"/>
  <c r="H983" i="6"/>
  <c r="J983" i="6" s="1"/>
  <c r="G983" i="6"/>
  <c r="I983" i="6" s="1"/>
  <c r="E983" i="6"/>
  <c r="H982" i="6"/>
  <c r="J982" i="6" s="1"/>
  <c r="G982" i="6"/>
  <c r="I982" i="6" s="1"/>
  <c r="E982" i="6"/>
  <c r="H981" i="6"/>
  <c r="J981" i="6" s="1"/>
  <c r="G981" i="6"/>
  <c r="K986" i="6" s="1"/>
  <c r="E981" i="6"/>
  <c r="H978" i="6"/>
  <c r="J978" i="6" s="1"/>
  <c r="G978" i="6"/>
  <c r="I978" i="6" s="1"/>
  <c r="E978" i="6"/>
  <c r="H977" i="6"/>
  <c r="J977" i="6" s="1"/>
  <c r="G977" i="6"/>
  <c r="I977" i="6" s="1"/>
  <c r="E977" i="6"/>
  <c r="H976" i="6"/>
  <c r="J976" i="6" s="1"/>
  <c r="G976" i="6"/>
  <c r="I976" i="6" s="1"/>
  <c r="E976" i="6"/>
  <c r="H975" i="6"/>
  <c r="J975" i="6" s="1"/>
  <c r="G975" i="6"/>
  <c r="I975" i="6" s="1"/>
  <c r="E975" i="6"/>
  <c r="H974" i="6"/>
  <c r="J974" i="6" s="1"/>
  <c r="G974" i="6"/>
  <c r="I974" i="6" s="1"/>
  <c r="E974" i="6"/>
  <c r="H973" i="6"/>
  <c r="J973" i="6" s="1"/>
  <c r="G973" i="6"/>
  <c r="I973" i="6" s="1"/>
  <c r="E973" i="6"/>
  <c r="H972" i="6"/>
  <c r="J972" i="6" s="1"/>
  <c r="G972" i="6"/>
  <c r="I972" i="6" s="1"/>
  <c r="E972" i="6"/>
  <c r="H971" i="6"/>
  <c r="J971" i="6" s="1"/>
  <c r="G971" i="6"/>
  <c r="I971" i="6" s="1"/>
  <c r="E971" i="6"/>
  <c r="H970" i="6"/>
  <c r="J970" i="6" s="1"/>
  <c r="G970" i="6"/>
  <c r="I970" i="6" s="1"/>
  <c r="E970" i="6"/>
  <c r="H969" i="6"/>
  <c r="J969" i="6" s="1"/>
  <c r="G969" i="6"/>
  <c r="I969" i="6" s="1"/>
  <c r="E969" i="6"/>
  <c r="H968" i="6"/>
  <c r="J968" i="6" s="1"/>
  <c r="G968" i="6"/>
  <c r="I968" i="6" s="1"/>
  <c r="E968" i="6"/>
  <c r="H967" i="6"/>
  <c r="J967" i="6" s="1"/>
  <c r="G967" i="6"/>
  <c r="I967" i="6" s="1"/>
  <c r="E967" i="6"/>
  <c r="H966" i="6"/>
  <c r="J966" i="6" s="1"/>
  <c r="G966" i="6"/>
  <c r="I966" i="6" s="1"/>
  <c r="E966" i="6"/>
  <c r="H965" i="6"/>
  <c r="J965" i="6" s="1"/>
  <c r="G965" i="6"/>
  <c r="I965" i="6" s="1"/>
  <c r="E965" i="6"/>
  <c r="H964" i="6"/>
  <c r="J964" i="6" s="1"/>
  <c r="G964" i="6"/>
  <c r="I964" i="6" s="1"/>
  <c r="E964" i="6"/>
  <c r="H963" i="6"/>
  <c r="J963" i="6" s="1"/>
  <c r="G963" i="6"/>
  <c r="I963" i="6" s="1"/>
  <c r="E963" i="6"/>
  <c r="H962" i="6"/>
  <c r="J962" i="6" s="1"/>
  <c r="G962" i="6"/>
  <c r="I962" i="6" s="1"/>
  <c r="E962" i="6"/>
  <c r="H961" i="6"/>
  <c r="J961" i="6" s="1"/>
  <c r="G961" i="6"/>
  <c r="I961" i="6" s="1"/>
  <c r="E961" i="6"/>
  <c r="H960" i="6"/>
  <c r="J960" i="6" s="1"/>
  <c r="G960" i="6"/>
  <c r="I960" i="6" s="1"/>
  <c r="E960" i="6"/>
  <c r="H959" i="6"/>
  <c r="J959" i="6" s="1"/>
  <c r="G959" i="6"/>
  <c r="I959" i="6" s="1"/>
  <c r="E959" i="6"/>
  <c r="F956" i="6"/>
  <c r="K997" i="6" s="1"/>
  <c r="G955" i="6"/>
  <c r="F955" i="6"/>
  <c r="G954" i="6"/>
  <c r="F954" i="6"/>
  <c r="G953" i="6"/>
  <c r="F953" i="6"/>
  <c r="H945" i="6"/>
  <c r="J945" i="6" s="1"/>
  <c r="G945" i="6"/>
  <c r="I945" i="6" s="1"/>
  <c r="E945" i="6"/>
  <c r="H944" i="6"/>
  <c r="J944" i="6" s="1"/>
  <c r="G944" i="6"/>
  <c r="I944" i="6" s="1"/>
  <c r="E944" i="6"/>
  <c r="H943" i="6"/>
  <c r="J943" i="6" s="1"/>
  <c r="G943" i="6"/>
  <c r="I943" i="6" s="1"/>
  <c r="E943" i="6"/>
  <c r="H942" i="6"/>
  <c r="J942" i="6" s="1"/>
  <c r="G942" i="6"/>
  <c r="I942" i="6" s="1"/>
  <c r="E942" i="6"/>
  <c r="G941" i="6"/>
  <c r="I941" i="6" s="1"/>
  <c r="E941" i="6"/>
  <c r="P939" i="6"/>
  <c r="R939" i="6" s="1"/>
  <c r="H938" i="6"/>
  <c r="J938" i="6" s="1"/>
  <c r="G938" i="6"/>
  <c r="I938" i="6" s="1"/>
  <c r="E938" i="6"/>
  <c r="H937" i="6"/>
  <c r="J937" i="6" s="1"/>
  <c r="G937" i="6"/>
  <c r="I937" i="6" s="1"/>
  <c r="E937" i="6"/>
  <c r="H936" i="6"/>
  <c r="J936" i="6" s="1"/>
  <c r="G936" i="6"/>
  <c r="I936" i="6" s="1"/>
  <c r="E936" i="6"/>
  <c r="H935" i="6"/>
  <c r="J935" i="6" s="1"/>
  <c r="G935" i="6"/>
  <c r="I935" i="6" s="1"/>
  <c r="E935" i="6"/>
  <c r="H934" i="6"/>
  <c r="J934" i="6" s="1"/>
  <c r="G934" i="6"/>
  <c r="K939" i="6" s="1"/>
  <c r="E934" i="6"/>
  <c r="H931" i="6"/>
  <c r="J931" i="6" s="1"/>
  <c r="G931" i="6"/>
  <c r="I931" i="6" s="1"/>
  <c r="E931" i="6"/>
  <c r="H930" i="6"/>
  <c r="J930" i="6" s="1"/>
  <c r="G930" i="6"/>
  <c r="I930" i="6" s="1"/>
  <c r="E930" i="6"/>
  <c r="H929" i="6"/>
  <c r="J929" i="6" s="1"/>
  <c r="G929" i="6"/>
  <c r="I929" i="6" s="1"/>
  <c r="E929" i="6"/>
  <c r="H928" i="6"/>
  <c r="J928" i="6" s="1"/>
  <c r="G928" i="6"/>
  <c r="I928" i="6" s="1"/>
  <c r="E928" i="6"/>
  <c r="H927" i="6"/>
  <c r="J927" i="6" s="1"/>
  <c r="G927" i="6"/>
  <c r="I927" i="6" s="1"/>
  <c r="E927" i="6"/>
  <c r="H926" i="6"/>
  <c r="J926" i="6" s="1"/>
  <c r="G926" i="6"/>
  <c r="I926" i="6" s="1"/>
  <c r="E926" i="6"/>
  <c r="H925" i="6"/>
  <c r="J925" i="6" s="1"/>
  <c r="G925" i="6"/>
  <c r="I925" i="6" s="1"/>
  <c r="E925" i="6"/>
  <c r="H924" i="6"/>
  <c r="J924" i="6" s="1"/>
  <c r="G924" i="6"/>
  <c r="I924" i="6" s="1"/>
  <c r="E924" i="6"/>
  <c r="H923" i="6"/>
  <c r="J923" i="6" s="1"/>
  <c r="G923" i="6"/>
  <c r="I923" i="6" s="1"/>
  <c r="E923" i="6"/>
  <c r="H922" i="6"/>
  <c r="J922" i="6" s="1"/>
  <c r="G922" i="6"/>
  <c r="I922" i="6" s="1"/>
  <c r="E922" i="6"/>
  <c r="H921" i="6"/>
  <c r="J921" i="6" s="1"/>
  <c r="G921" i="6"/>
  <c r="I921" i="6" s="1"/>
  <c r="E921" i="6"/>
  <c r="H920" i="6"/>
  <c r="J920" i="6" s="1"/>
  <c r="G920" i="6"/>
  <c r="I920" i="6" s="1"/>
  <c r="E920" i="6"/>
  <c r="H919" i="6"/>
  <c r="J919" i="6" s="1"/>
  <c r="G919" i="6"/>
  <c r="I919" i="6" s="1"/>
  <c r="E919" i="6"/>
  <c r="H918" i="6"/>
  <c r="J918" i="6" s="1"/>
  <c r="G918" i="6"/>
  <c r="I918" i="6" s="1"/>
  <c r="E918" i="6"/>
  <c r="H917" i="6"/>
  <c r="J917" i="6" s="1"/>
  <c r="G917" i="6"/>
  <c r="I917" i="6" s="1"/>
  <c r="E917" i="6"/>
  <c r="H916" i="6"/>
  <c r="J916" i="6" s="1"/>
  <c r="G916" i="6"/>
  <c r="I916" i="6" s="1"/>
  <c r="E916" i="6"/>
  <c r="G915" i="6"/>
  <c r="I915" i="6" s="1"/>
  <c r="E915" i="6"/>
  <c r="H914" i="6"/>
  <c r="J914" i="6" s="1"/>
  <c r="G914" i="6"/>
  <c r="I914" i="6" s="1"/>
  <c r="E914" i="6"/>
  <c r="H913" i="6"/>
  <c r="J913" i="6" s="1"/>
  <c r="G913" i="6"/>
  <c r="I913" i="6" s="1"/>
  <c r="E913" i="6"/>
  <c r="H912" i="6"/>
  <c r="J912" i="6" s="1"/>
  <c r="G912" i="6"/>
  <c r="I912" i="6" s="1"/>
  <c r="E912" i="6"/>
  <c r="F909" i="6"/>
  <c r="K950" i="6" s="1"/>
  <c r="G908" i="6"/>
  <c r="F908" i="6"/>
  <c r="G907" i="6"/>
  <c r="F907" i="6"/>
  <c r="G906" i="6"/>
  <c r="F906" i="6"/>
  <c r="H898" i="6"/>
  <c r="J898" i="6" s="1"/>
  <c r="G898" i="6"/>
  <c r="I898" i="6" s="1"/>
  <c r="E898" i="6"/>
  <c r="H897" i="6"/>
  <c r="J897" i="6" s="1"/>
  <c r="G897" i="6"/>
  <c r="I897" i="6" s="1"/>
  <c r="E897" i="6"/>
  <c r="H896" i="6"/>
  <c r="J896" i="6" s="1"/>
  <c r="G896" i="6"/>
  <c r="I896" i="6" s="1"/>
  <c r="E896" i="6"/>
  <c r="H895" i="6"/>
  <c r="J895" i="6" s="1"/>
  <c r="G895" i="6"/>
  <c r="I895" i="6" s="1"/>
  <c r="E895" i="6"/>
  <c r="G894" i="6"/>
  <c r="I894" i="6" s="1"/>
  <c r="E894" i="6"/>
  <c r="P892" i="6"/>
  <c r="R892" i="6" s="1"/>
  <c r="H891" i="6"/>
  <c r="J891" i="6" s="1"/>
  <c r="G891" i="6"/>
  <c r="I891" i="6" s="1"/>
  <c r="E891" i="6"/>
  <c r="H890" i="6"/>
  <c r="J890" i="6" s="1"/>
  <c r="G890" i="6"/>
  <c r="I890" i="6" s="1"/>
  <c r="E890" i="6"/>
  <c r="H889" i="6"/>
  <c r="J889" i="6" s="1"/>
  <c r="G889" i="6"/>
  <c r="I889" i="6" s="1"/>
  <c r="E889" i="6"/>
  <c r="H888" i="6"/>
  <c r="J888" i="6" s="1"/>
  <c r="G888" i="6"/>
  <c r="I888" i="6" s="1"/>
  <c r="E888" i="6"/>
  <c r="H887" i="6"/>
  <c r="J887" i="6" s="1"/>
  <c r="G887" i="6"/>
  <c r="K892" i="6" s="1"/>
  <c r="E887" i="6"/>
  <c r="H884" i="6"/>
  <c r="J884" i="6" s="1"/>
  <c r="G884" i="6"/>
  <c r="I884" i="6" s="1"/>
  <c r="E884" i="6"/>
  <c r="H883" i="6"/>
  <c r="J883" i="6" s="1"/>
  <c r="G883" i="6"/>
  <c r="I883" i="6" s="1"/>
  <c r="E883" i="6"/>
  <c r="H882" i="6"/>
  <c r="J882" i="6" s="1"/>
  <c r="G882" i="6"/>
  <c r="I882" i="6" s="1"/>
  <c r="E882" i="6"/>
  <c r="H881" i="6"/>
  <c r="J881" i="6" s="1"/>
  <c r="G881" i="6"/>
  <c r="I881" i="6" s="1"/>
  <c r="E881" i="6"/>
  <c r="H880" i="6"/>
  <c r="J880" i="6" s="1"/>
  <c r="G880" i="6"/>
  <c r="I880" i="6" s="1"/>
  <c r="E880" i="6"/>
  <c r="H879" i="6"/>
  <c r="J879" i="6" s="1"/>
  <c r="G879" i="6"/>
  <c r="I879" i="6" s="1"/>
  <c r="E879" i="6"/>
  <c r="H878" i="6"/>
  <c r="J878" i="6" s="1"/>
  <c r="G878" i="6"/>
  <c r="I878" i="6" s="1"/>
  <c r="E878" i="6"/>
  <c r="H877" i="6"/>
  <c r="J877" i="6" s="1"/>
  <c r="G877" i="6"/>
  <c r="I877" i="6" s="1"/>
  <c r="E877" i="6"/>
  <c r="H876" i="6"/>
  <c r="J876" i="6" s="1"/>
  <c r="G876" i="6"/>
  <c r="I876" i="6" s="1"/>
  <c r="E876" i="6"/>
  <c r="H875" i="6"/>
  <c r="J875" i="6" s="1"/>
  <c r="G875" i="6"/>
  <c r="I875" i="6" s="1"/>
  <c r="E875" i="6"/>
  <c r="H874" i="6"/>
  <c r="J874" i="6" s="1"/>
  <c r="G874" i="6"/>
  <c r="I874" i="6" s="1"/>
  <c r="E874" i="6"/>
  <c r="H873" i="6"/>
  <c r="J873" i="6" s="1"/>
  <c r="G873" i="6"/>
  <c r="I873" i="6" s="1"/>
  <c r="E873" i="6"/>
  <c r="H872" i="6"/>
  <c r="J872" i="6" s="1"/>
  <c r="G872" i="6"/>
  <c r="I872" i="6" s="1"/>
  <c r="E872" i="6"/>
  <c r="H871" i="6"/>
  <c r="J871" i="6" s="1"/>
  <c r="G871" i="6"/>
  <c r="I871" i="6" s="1"/>
  <c r="E871" i="6"/>
  <c r="H870" i="6"/>
  <c r="J870" i="6" s="1"/>
  <c r="G870" i="6"/>
  <c r="I870" i="6" s="1"/>
  <c r="E870" i="6"/>
  <c r="H869" i="6"/>
  <c r="J869" i="6" s="1"/>
  <c r="G869" i="6"/>
  <c r="I869" i="6" s="1"/>
  <c r="E869" i="6"/>
  <c r="H868" i="6"/>
  <c r="J868" i="6" s="1"/>
  <c r="G868" i="6"/>
  <c r="I868" i="6" s="1"/>
  <c r="E868" i="6"/>
  <c r="H867" i="6"/>
  <c r="J867" i="6" s="1"/>
  <c r="G867" i="6"/>
  <c r="I867" i="6" s="1"/>
  <c r="E867" i="6"/>
  <c r="H866" i="6"/>
  <c r="J866" i="6" s="1"/>
  <c r="G866" i="6"/>
  <c r="I866" i="6" s="1"/>
  <c r="E866" i="6"/>
  <c r="G865" i="6"/>
  <c r="I865" i="6" s="1"/>
  <c r="E865" i="6"/>
  <c r="F862" i="6"/>
  <c r="K903" i="6" s="1"/>
  <c r="G861" i="6"/>
  <c r="F861" i="6"/>
  <c r="G860" i="6"/>
  <c r="F860" i="6"/>
  <c r="G859" i="6"/>
  <c r="F859" i="6"/>
  <c r="H851" i="6"/>
  <c r="J851" i="6" s="1"/>
  <c r="G851" i="6"/>
  <c r="I851" i="6" s="1"/>
  <c r="E851" i="6"/>
  <c r="H850" i="6"/>
  <c r="J850" i="6" s="1"/>
  <c r="G850" i="6"/>
  <c r="I850" i="6" s="1"/>
  <c r="E850" i="6"/>
  <c r="H849" i="6"/>
  <c r="J849" i="6" s="1"/>
  <c r="G849" i="6"/>
  <c r="I849" i="6" s="1"/>
  <c r="E849" i="6"/>
  <c r="H848" i="6"/>
  <c r="J848" i="6" s="1"/>
  <c r="G848" i="6"/>
  <c r="I848" i="6" s="1"/>
  <c r="E848" i="6"/>
  <c r="G847" i="6"/>
  <c r="I847" i="6" s="1"/>
  <c r="E847" i="6"/>
  <c r="P845" i="6"/>
  <c r="R845" i="6" s="1"/>
  <c r="H844" i="6"/>
  <c r="J844" i="6" s="1"/>
  <c r="G844" i="6"/>
  <c r="I844" i="6" s="1"/>
  <c r="E844" i="6"/>
  <c r="H843" i="6"/>
  <c r="J843" i="6" s="1"/>
  <c r="G843" i="6"/>
  <c r="I843" i="6" s="1"/>
  <c r="E843" i="6"/>
  <c r="H842" i="6"/>
  <c r="J842" i="6" s="1"/>
  <c r="G842" i="6"/>
  <c r="I842" i="6" s="1"/>
  <c r="E842" i="6"/>
  <c r="H841" i="6"/>
  <c r="J841" i="6" s="1"/>
  <c r="G841" i="6"/>
  <c r="I841" i="6" s="1"/>
  <c r="E841" i="6"/>
  <c r="H840" i="6"/>
  <c r="J840" i="6" s="1"/>
  <c r="G840" i="6"/>
  <c r="K845" i="6" s="1"/>
  <c r="E840" i="6"/>
  <c r="H837" i="6"/>
  <c r="J837" i="6" s="1"/>
  <c r="G837" i="6"/>
  <c r="I837" i="6" s="1"/>
  <c r="E837" i="6"/>
  <c r="H836" i="6"/>
  <c r="J836" i="6" s="1"/>
  <c r="G836" i="6"/>
  <c r="I836" i="6" s="1"/>
  <c r="E836" i="6"/>
  <c r="H835" i="6"/>
  <c r="J835" i="6" s="1"/>
  <c r="G835" i="6"/>
  <c r="I835" i="6" s="1"/>
  <c r="E835" i="6"/>
  <c r="H834" i="6"/>
  <c r="J834" i="6" s="1"/>
  <c r="G834" i="6"/>
  <c r="I834" i="6" s="1"/>
  <c r="E834" i="6"/>
  <c r="H833" i="6"/>
  <c r="J833" i="6" s="1"/>
  <c r="G833" i="6"/>
  <c r="I833" i="6" s="1"/>
  <c r="E833" i="6"/>
  <c r="H832" i="6"/>
  <c r="J832" i="6" s="1"/>
  <c r="G832" i="6"/>
  <c r="I832" i="6" s="1"/>
  <c r="E832" i="6"/>
  <c r="H831" i="6"/>
  <c r="J831" i="6" s="1"/>
  <c r="G831" i="6"/>
  <c r="I831" i="6" s="1"/>
  <c r="E831" i="6"/>
  <c r="H830" i="6"/>
  <c r="J830" i="6" s="1"/>
  <c r="G830" i="6"/>
  <c r="I830" i="6" s="1"/>
  <c r="E830" i="6"/>
  <c r="H829" i="6"/>
  <c r="J829" i="6" s="1"/>
  <c r="G829" i="6"/>
  <c r="I829" i="6" s="1"/>
  <c r="E829" i="6"/>
  <c r="H828" i="6"/>
  <c r="J828" i="6" s="1"/>
  <c r="G828" i="6"/>
  <c r="I828" i="6" s="1"/>
  <c r="E828" i="6"/>
  <c r="H827" i="6"/>
  <c r="J827" i="6" s="1"/>
  <c r="G827" i="6"/>
  <c r="I827" i="6" s="1"/>
  <c r="E827" i="6"/>
  <c r="H826" i="6"/>
  <c r="J826" i="6" s="1"/>
  <c r="G826" i="6"/>
  <c r="I826" i="6" s="1"/>
  <c r="E826" i="6"/>
  <c r="H825" i="6"/>
  <c r="J825" i="6" s="1"/>
  <c r="G825" i="6"/>
  <c r="I825" i="6" s="1"/>
  <c r="E825" i="6"/>
  <c r="H824" i="6"/>
  <c r="J824" i="6" s="1"/>
  <c r="G824" i="6"/>
  <c r="I824" i="6" s="1"/>
  <c r="E824" i="6"/>
  <c r="H823" i="6"/>
  <c r="J823" i="6" s="1"/>
  <c r="G823" i="6"/>
  <c r="I823" i="6" s="1"/>
  <c r="E823" i="6"/>
  <c r="H822" i="6"/>
  <c r="J822" i="6" s="1"/>
  <c r="G822" i="6"/>
  <c r="I822" i="6" s="1"/>
  <c r="E822" i="6"/>
  <c r="H821" i="6"/>
  <c r="J821" i="6" s="1"/>
  <c r="G821" i="6"/>
  <c r="I821" i="6" s="1"/>
  <c r="E821" i="6"/>
  <c r="H820" i="6"/>
  <c r="J820" i="6" s="1"/>
  <c r="G820" i="6"/>
  <c r="I820" i="6" s="1"/>
  <c r="E820" i="6"/>
  <c r="H819" i="6"/>
  <c r="J819" i="6" s="1"/>
  <c r="G819" i="6"/>
  <c r="I819" i="6" s="1"/>
  <c r="E819" i="6"/>
  <c r="G818" i="6"/>
  <c r="I818" i="6" s="1"/>
  <c r="E818" i="6"/>
  <c r="F815" i="6"/>
  <c r="K856" i="6" s="1"/>
  <c r="G814" i="6"/>
  <c r="F814" i="6"/>
  <c r="G813" i="6"/>
  <c r="F813" i="6"/>
  <c r="G812" i="6"/>
  <c r="F812" i="6"/>
  <c r="H804" i="6"/>
  <c r="J804" i="6" s="1"/>
  <c r="G804" i="6"/>
  <c r="I804" i="6" s="1"/>
  <c r="E804" i="6"/>
  <c r="H803" i="6"/>
  <c r="J803" i="6" s="1"/>
  <c r="G803" i="6"/>
  <c r="I803" i="6" s="1"/>
  <c r="E803" i="6"/>
  <c r="H802" i="6"/>
  <c r="J802" i="6" s="1"/>
  <c r="G802" i="6"/>
  <c r="I802" i="6" s="1"/>
  <c r="E802" i="6"/>
  <c r="H801" i="6"/>
  <c r="J801" i="6" s="1"/>
  <c r="G801" i="6"/>
  <c r="I801" i="6" s="1"/>
  <c r="E801" i="6"/>
  <c r="G800" i="6"/>
  <c r="I800" i="6" s="1"/>
  <c r="E800" i="6"/>
  <c r="P798" i="6"/>
  <c r="H797" i="6"/>
  <c r="J797" i="6" s="1"/>
  <c r="G797" i="6"/>
  <c r="I797" i="6" s="1"/>
  <c r="E797" i="6"/>
  <c r="H796" i="6"/>
  <c r="J796" i="6" s="1"/>
  <c r="G796" i="6"/>
  <c r="I796" i="6" s="1"/>
  <c r="E796" i="6"/>
  <c r="H795" i="6"/>
  <c r="J795" i="6" s="1"/>
  <c r="G795" i="6"/>
  <c r="I795" i="6" s="1"/>
  <c r="E795" i="6"/>
  <c r="H794" i="6"/>
  <c r="J794" i="6" s="1"/>
  <c r="G794" i="6"/>
  <c r="I794" i="6" s="1"/>
  <c r="E794" i="6"/>
  <c r="H793" i="6"/>
  <c r="J793" i="6" s="1"/>
  <c r="G793" i="6"/>
  <c r="K798" i="6" s="1"/>
  <c r="E793" i="6"/>
  <c r="H790" i="6"/>
  <c r="J790" i="6" s="1"/>
  <c r="G790" i="6"/>
  <c r="I790" i="6" s="1"/>
  <c r="E790" i="6"/>
  <c r="H789" i="6"/>
  <c r="J789" i="6" s="1"/>
  <c r="G789" i="6"/>
  <c r="I789" i="6" s="1"/>
  <c r="E789" i="6"/>
  <c r="H788" i="6"/>
  <c r="J788" i="6" s="1"/>
  <c r="G788" i="6"/>
  <c r="I788" i="6" s="1"/>
  <c r="E788" i="6"/>
  <c r="H787" i="6"/>
  <c r="J787" i="6" s="1"/>
  <c r="G787" i="6"/>
  <c r="I787" i="6" s="1"/>
  <c r="E787" i="6"/>
  <c r="H786" i="6"/>
  <c r="J786" i="6" s="1"/>
  <c r="G786" i="6"/>
  <c r="I786" i="6" s="1"/>
  <c r="E786" i="6"/>
  <c r="H785" i="6"/>
  <c r="J785" i="6" s="1"/>
  <c r="G785" i="6"/>
  <c r="I785" i="6" s="1"/>
  <c r="E785" i="6"/>
  <c r="H784" i="6"/>
  <c r="J784" i="6" s="1"/>
  <c r="G784" i="6"/>
  <c r="I784" i="6" s="1"/>
  <c r="E784" i="6"/>
  <c r="H783" i="6"/>
  <c r="J783" i="6" s="1"/>
  <c r="G783" i="6"/>
  <c r="I783" i="6" s="1"/>
  <c r="E783" i="6"/>
  <c r="H782" i="6"/>
  <c r="J782" i="6" s="1"/>
  <c r="G782" i="6"/>
  <c r="I782" i="6" s="1"/>
  <c r="E782" i="6"/>
  <c r="H781" i="6"/>
  <c r="J781" i="6" s="1"/>
  <c r="G781" i="6"/>
  <c r="I781" i="6" s="1"/>
  <c r="E781" i="6"/>
  <c r="H780" i="6"/>
  <c r="J780" i="6" s="1"/>
  <c r="G780" i="6"/>
  <c r="I780" i="6" s="1"/>
  <c r="E780" i="6"/>
  <c r="H779" i="6"/>
  <c r="J779" i="6" s="1"/>
  <c r="G779" i="6"/>
  <c r="I779" i="6" s="1"/>
  <c r="E779" i="6"/>
  <c r="H778" i="6"/>
  <c r="J778" i="6" s="1"/>
  <c r="G778" i="6"/>
  <c r="I778" i="6" s="1"/>
  <c r="E778" i="6"/>
  <c r="H777" i="6"/>
  <c r="J777" i="6" s="1"/>
  <c r="G777" i="6"/>
  <c r="I777" i="6" s="1"/>
  <c r="E777" i="6"/>
  <c r="H776" i="6"/>
  <c r="J776" i="6" s="1"/>
  <c r="G776" i="6"/>
  <c r="I776" i="6" s="1"/>
  <c r="E776" i="6"/>
  <c r="H775" i="6"/>
  <c r="J775" i="6" s="1"/>
  <c r="G775" i="6"/>
  <c r="I775" i="6" s="1"/>
  <c r="E775" i="6"/>
  <c r="H774" i="6"/>
  <c r="J774" i="6" s="1"/>
  <c r="G774" i="6"/>
  <c r="I774" i="6" s="1"/>
  <c r="E774" i="6"/>
  <c r="H773" i="6"/>
  <c r="J773" i="6" s="1"/>
  <c r="G773" i="6"/>
  <c r="I773" i="6" s="1"/>
  <c r="E773" i="6"/>
  <c r="H772" i="6"/>
  <c r="J772" i="6" s="1"/>
  <c r="G772" i="6"/>
  <c r="I772" i="6" s="1"/>
  <c r="E772" i="6"/>
  <c r="G771" i="6"/>
  <c r="I771" i="6" s="1"/>
  <c r="E771" i="6"/>
  <c r="F768" i="6"/>
  <c r="K809" i="6" s="1"/>
  <c r="G767" i="6"/>
  <c r="F767" i="6"/>
  <c r="G766" i="6"/>
  <c r="F766" i="6"/>
  <c r="G765" i="6"/>
  <c r="F765" i="6"/>
  <c r="H757" i="6"/>
  <c r="J757" i="6" s="1"/>
  <c r="G757" i="6"/>
  <c r="I757" i="6" s="1"/>
  <c r="E757" i="6"/>
  <c r="H756" i="6"/>
  <c r="J756" i="6" s="1"/>
  <c r="G756" i="6"/>
  <c r="I756" i="6" s="1"/>
  <c r="E756" i="6"/>
  <c r="H755" i="6"/>
  <c r="J755" i="6" s="1"/>
  <c r="G755" i="6"/>
  <c r="I755" i="6" s="1"/>
  <c r="E755" i="6"/>
  <c r="H754" i="6"/>
  <c r="J754" i="6" s="1"/>
  <c r="G754" i="6"/>
  <c r="I754" i="6" s="1"/>
  <c r="E754" i="6"/>
  <c r="G753" i="6"/>
  <c r="I753" i="6" s="1"/>
  <c r="E753" i="6"/>
  <c r="P751" i="6"/>
  <c r="H750" i="6"/>
  <c r="J750" i="6" s="1"/>
  <c r="G750" i="6"/>
  <c r="I750" i="6" s="1"/>
  <c r="E750" i="6"/>
  <c r="H749" i="6"/>
  <c r="J749" i="6" s="1"/>
  <c r="G749" i="6"/>
  <c r="I749" i="6" s="1"/>
  <c r="E749" i="6"/>
  <c r="H748" i="6"/>
  <c r="J748" i="6" s="1"/>
  <c r="G748" i="6"/>
  <c r="I748" i="6" s="1"/>
  <c r="E748" i="6"/>
  <c r="H747" i="6"/>
  <c r="J747" i="6" s="1"/>
  <c r="G747" i="6"/>
  <c r="I747" i="6" s="1"/>
  <c r="E747" i="6"/>
  <c r="H746" i="6"/>
  <c r="J746" i="6" s="1"/>
  <c r="G746" i="6"/>
  <c r="K751" i="6" s="1"/>
  <c r="E746" i="6"/>
  <c r="H743" i="6"/>
  <c r="J743" i="6" s="1"/>
  <c r="G743" i="6"/>
  <c r="I743" i="6" s="1"/>
  <c r="E743" i="6"/>
  <c r="H742" i="6"/>
  <c r="J742" i="6" s="1"/>
  <c r="G742" i="6"/>
  <c r="I742" i="6" s="1"/>
  <c r="E742" i="6"/>
  <c r="H741" i="6"/>
  <c r="J741" i="6" s="1"/>
  <c r="G741" i="6"/>
  <c r="I741" i="6" s="1"/>
  <c r="E741" i="6"/>
  <c r="H740" i="6"/>
  <c r="J740" i="6" s="1"/>
  <c r="G740" i="6"/>
  <c r="I740" i="6" s="1"/>
  <c r="E740" i="6"/>
  <c r="H739" i="6"/>
  <c r="J739" i="6" s="1"/>
  <c r="G739" i="6"/>
  <c r="I739" i="6" s="1"/>
  <c r="E739" i="6"/>
  <c r="H738" i="6"/>
  <c r="J738" i="6" s="1"/>
  <c r="G738" i="6"/>
  <c r="I738" i="6" s="1"/>
  <c r="E738" i="6"/>
  <c r="H737" i="6"/>
  <c r="J737" i="6" s="1"/>
  <c r="G737" i="6"/>
  <c r="I737" i="6" s="1"/>
  <c r="E737" i="6"/>
  <c r="H736" i="6"/>
  <c r="J736" i="6" s="1"/>
  <c r="G736" i="6"/>
  <c r="I736" i="6" s="1"/>
  <c r="E736" i="6"/>
  <c r="H735" i="6"/>
  <c r="J735" i="6" s="1"/>
  <c r="G735" i="6"/>
  <c r="I735" i="6" s="1"/>
  <c r="E735" i="6"/>
  <c r="H734" i="6"/>
  <c r="J734" i="6" s="1"/>
  <c r="G734" i="6"/>
  <c r="I734" i="6" s="1"/>
  <c r="E734" i="6"/>
  <c r="H733" i="6"/>
  <c r="J733" i="6" s="1"/>
  <c r="G733" i="6"/>
  <c r="I733" i="6" s="1"/>
  <c r="E733" i="6"/>
  <c r="H732" i="6"/>
  <c r="J732" i="6" s="1"/>
  <c r="G732" i="6"/>
  <c r="I732" i="6" s="1"/>
  <c r="E732" i="6"/>
  <c r="H731" i="6"/>
  <c r="J731" i="6" s="1"/>
  <c r="G731" i="6"/>
  <c r="I731" i="6" s="1"/>
  <c r="E731" i="6"/>
  <c r="H730" i="6"/>
  <c r="J730" i="6" s="1"/>
  <c r="G730" i="6"/>
  <c r="I730" i="6" s="1"/>
  <c r="E730" i="6"/>
  <c r="H729" i="6"/>
  <c r="J729" i="6" s="1"/>
  <c r="G729" i="6"/>
  <c r="I729" i="6" s="1"/>
  <c r="E729" i="6"/>
  <c r="H728" i="6"/>
  <c r="J728" i="6" s="1"/>
  <c r="G728" i="6"/>
  <c r="I728" i="6" s="1"/>
  <c r="E728" i="6"/>
  <c r="H727" i="6"/>
  <c r="J727" i="6" s="1"/>
  <c r="G727" i="6"/>
  <c r="I727" i="6" s="1"/>
  <c r="E727" i="6"/>
  <c r="H726" i="6"/>
  <c r="J726" i="6" s="1"/>
  <c r="G726" i="6"/>
  <c r="I726" i="6" s="1"/>
  <c r="E726" i="6"/>
  <c r="H725" i="6"/>
  <c r="J725" i="6" s="1"/>
  <c r="G725" i="6"/>
  <c r="I725" i="6" s="1"/>
  <c r="E725" i="6"/>
  <c r="H724" i="6"/>
  <c r="J724" i="6" s="1"/>
  <c r="G724" i="6"/>
  <c r="I724" i="6" s="1"/>
  <c r="E724" i="6"/>
  <c r="F721" i="6"/>
  <c r="K762" i="6" s="1"/>
  <c r="G720" i="6"/>
  <c r="F720" i="6"/>
  <c r="G719" i="6"/>
  <c r="F719" i="6"/>
  <c r="G718" i="6"/>
  <c r="F718" i="6"/>
  <c r="H710" i="6"/>
  <c r="J710" i="6" s="1"/>
  <c r="G710" i="6"/>
  <c r="I710" i="6" s="1"/>
  <c r="E710" i="6"/>
  <c r="H709" i="6"/>
  <c r="J709" i="6" s="1"/>
  <c r="G709" i="6"/>
  <c r="I709" i="6" s="1"/>
  <c r="E709" i="6"/>
  <c r="H708" i="6"/>
  <c r="J708" i="6" s="1"/>
  <c r="G708" i="6"/>
  <c r="I708" i="6" s="1"/>
  <c r="E708" i="6"/>
  <c r="H707" i="6"/>
  <c r="J707" i="6" s="1"/>
  <c r="G707" i="6"/>
  <c r="I707" i="6" s="1"/>
  <c r="E707" i="6"/>
  <c r="G706" i="6"/>
  <c r="I706" i="6" s="1"/>
  <c r="E706" i="6"/>
  <c r="P704" i="6"/>
  <c r="H703" i="6"/>
  <c r="J703" i="6" s="1"/>
  <c r="G703" i="6"/>
  <c r="I703" i="6" s="1"/>
  <c r="E703" i="6"/>
  <c r="H702" i="6"/>
  <c r="J702" i="6" s="1"/>
  <c r="G702" i="6"/>
  <c r="I702" i="6" s="1"/>
  <c r="E702" i="6"/>
  <c r="H701" i="6"/>
  <c r="J701" i="6" s="1"/>
  <c r="G701" i="6"/>
  <c r="I701" i="6" s="1"/>
  <c r="E701" i="6"/>
  <c r="H700" i="6"/>
  <c r="J700" i="6" s="1"/>
  <c r="G700" i="6"/>
  <c r="I700" i="6" s="1"/>
  <c r="E700" i="6"/>
  <c r="H699" i="6"/>
  <c r="J699" i="6" s="1"/>
  <c r="G699" i="6"/>
  <c r="K704" i="6" s="1"/>
  <c r="E699" i="6"/>
  <c r="H696" i="6"/>
  <c r="J696" i="6" s="1"/>
  <c r="G696" i="6"/>
  <c r="I696" i="6" s="1"/>
  <c r="E696" i="6"/>
  <c r="H695" i="6"/>
  <c r="J695" i="6" s="1"/>
  <c r="G695" i="6"/>
  <c r="I695" i="6" s="1"/>
  <c r="E695" i="6"/>
  <c r="H694" i="6"/>
  <c r="J694" i="6" s="1"/>
  <c r="G694" i="6"/>
  <c r="I694" i="6" s="1"/>
  <c r="E694" i="6"/>
  <c r="H693" i="6"/>
  <c r="J693" i="6" s="1"/>
  <c r="G693" i="6"/>
  <c r="I693" i="6" s="1"/>
  <c r="E693" i="6"/>
  <c r="H692" i="6"/>
  <c r="J692" i="6" s="1"/>
  <c r="G692" i="6"/>
  <c r="I692" i="6" s="1"/>
  <c r="E692" i="6"/>
  <c r="H691" i="6"/>
  <c r="J691" i="6" s="1"/>
  <c r="G691" i="6"/>
  <c r="I691" i="6" s="1"/>
  <c r="E691" i="6"/>
  <c r="H690" i="6"/>
  <c r="J690" i="6" s="1"/>
  <c r="G690" i="6"/>
  <c r="I690" i="6" s="1"/>
  <c r="E690" i="6"/>
  <c r="H689" i="6"/>
  <c r="J689" i="6" s="1"/>
  <c r="G689" i="6"/>
  <c r="I689" i="6" s="1"/>
  <c r="E689" i="6"/>
  <c r="H688" i="6"/>
  <c r="J688" i="6" s="1"/>
  <c r="G688" i="6"/>
  <c r="I688" i="6" s="1"/>
  <c r="E688" i="6"/>
  <c r="H687" i="6"/>
  <c r="J687" i="6" s="1"/>
  <c r="G687" i="6"/>
  <c r="I687" i="6" s="1"/>
  <c r="E687" i="6"/>
  <c r="H686" i="6"/>
  <c r="J686" i="6" s="1"/>
  <c r="G686" i="6"/>
  <c r="I686" i="6" s="1"/>
  <c r="E686" i="6"/>
  <c r="H685" i="6"/>
  <c r="J685" i="6" s="1"/>
  <c r="G685" i="6"/>
  <c r="I685" i="6" s="1"/>
  <c r="E685" i="6"/>
  <c r="H684" i="6"/>
  <c r="J684" i="6" s="1"/>
  <c r="G684" i="6"/>
  <c r="I684" i="6" s="1"/>
  <c r="E684" i="6"/>
  <c r="H683" i="6"/>
  <c r="J683" i="6" s="1"/>
  <c r="G683" i="6"/>
  <c r="I683" i="6" s="1"/>
  <c r="E683" i="6"/>
  <c r="H682" i="6"/>
  <c r="J682" i="6" s="1"/>
  <c r="G682" i="6"/>
  <c r="I682" i="6" s="1"/>
  <c r="E682" i="6"/>
  <c r="H681" i="6"/>
  <c r="J681" i="6" s="1"/>
  <c r="G681" i="6"/>
  <c r="I681" i="6" s="1"/>
  <c r="E681" i="6"/>
  <c r="H680" i="6"/>
  <c r="J680" i="6" s="1"/>
  <c r="G680" i="6"/>
  <c r="I680" i="6" s="1"/>
  <c r="E680" i="6"/>
  <c r="H679" i="6"/>
  <c r="J679" i="6" s="1"/>
  <c r="G679" i="6"/>
  <c r="I679" i="6" s="1"/>
  <c r="E679" i="6"/>
  <c r="H678" i="6"/>
  <c r="J678" i="6" s="1"/>
  <c r="G678" i="6"/>
  <c r="I678" i="6" s="1"/>
  <c r="E678" i="6"/>
  <c r="H677" i="6"/>
  <c r="J677" i="6" s="1"/>
  <c r="G677" i="6"/>
  <c r="I677" i="6" s="1"/>
  <c r="E677" i="6"/>
  <c r="F674" i="6"/>
  <c r="K715" i="6" s="1"/>
  <c r="G673" i="6"/>
  <c r="F673" i="6"/>
  <c r="G672" i="6"/>
  <c r="F672" i="6"/>
  <c r="G671" i="6"/>
  <c r="F671" i="6"/>
  <c r="H663" i="6"/>
  <c r="J663" i="6" s="1"/>
  <c r="G663" i="6"/>
  <c r="I663" i="6" s="1"/>
  <c r="E663" i="6"/>
  <c r="H662" i="6"/>
  <c r="J662" i="6" s="1"/>
  <c r="G662" i="6"/>
  <c r="I662" i="6" s="1"/>
  <c r="E662" i="6"/>
  <c r="H661" i="6"/>
  <c r="J661" i="6" s="1"/>
  <c r="G661" i="6"/>
  <c r="I661" i="6" s="1"/>
  <c r="E661" i="6"/>
  <c r="H660" i="6"/>
  <c r="J660" i="6" s="1"/>
  <c r="G660" i="6"/>
  <c r="I660" i="6" s="1"/>
  <c r="E660" i="6"/>
  <c r="G659" i="6"/>
  <c r="I659" i="6" s="1"/>
  <c r="E659" i="6"/>
  <c r="P657" i="6"/>
  <c r="H656" i="6"/>
  <c r="J656" i="6" s="1"/>
  <c r="G656" i="6"/>
  <c r="I656" i="6" s="1"/>
  <c r="E656" i="6"/>
  <c r="H655" i="6"/>
  <c r="J655" i="6" s="1"/>
  <c r="G655" i="6"/>
  <c r="I655" i="6" s="1"/>
  <c r="E655" i="6"/>
  <c r="H654" i="6"/>
  <c r="J654" i="6" s="1"/>
  <c r="G654" i="6"/>
  <c r="I654" i="6" s="1"/>
  <c r="E654" i="6"/>
  <c r="H653" i="6"/>
  <c r="J653" i="6" s="1"/>
  <c r="G653" i="6"/>
  <c r="I653" i="6" s="1"/>
  <c r="E653" i="6"/>
  <c r="H652" i="6"/>
  <c r="J652" i="6" s="1"/>
  <c r="G652" i="6"/>
  <c r="K657" i="6" s="1"/>
  <c r="E652" i="6"/>
  <c r="H649" i="6"/>
  <c r="J649" i="6" s="1"/>
  <c r="G649" i="6"/>
  <c r="I649" i="6" s="1"/>
  <c r="E649" i="6"/>
  <c r="H648" i="6"/>
  <c r="J648" i="6" s="1"/>
  <c r="G648" i="6"/>
  <c r="I648" i="6" s="1"/>
  <c r="E648" i="6"/>
  <c r="H647" i="6"/>
  <c r="J647" i="6" s="1"/>
  <c r="G647" i="6"/>
  <c r="I647" i="6" s="1"/>
  <c r="E647" i="6"/>
  <c r="H646" i="6"/>
  <c r="J646" i="6" s="1"/>
  <c r="G646" i="6"/>
  <c r="I646" i="6" s="1"/>
  <c r="E646" i="6"/>
  <c r="H645" i="6"/>
  <c r="J645" i="6" s="1"/>
  <c r="G645" i="6"/>
  <c r="I645" i="6" s="1"/>
  <c r="E645" i="6"/>
  <c r="H644" i="6"/>
  <c r="J644" i="6" s="1"/>
  <c r="G644" i="6"/>
  <c r="I644" i="6" s="1"/>
  <c r="E644" i="6"/>
  <c r="H643" i="6"/>
  <c r="J643" i="6" s="1"/>
  <c r="G643" i="6"/>
  <c r="I643" i="6" s="1"/>
  <c r="E643" i="6"/>
  <c r="H642" i="6"/>
  <c r="J642" i="6" s="1"/>
  <c r="G642" i="6"/>
  <c r="I642" i="6" s="1"/>
  <c r="E642" i="6"/>
  <c r="H641" i="6"/>
  <c r="J641" i="6" s="1"/>
  <c r="G641" i="6"/>
  <c r="I641" i="6" s="1"/>
  <c r="E641" i="6"/>
  <c r="H640" i="6"/>
  <c r="J640" i="6" s="1"/>
  <c r="G640" i="6"/>
  <c r="I640" i="6" s="1"/>
  <c r="E640" i="6"/>
  <c r="H639" i="6"/>
  <c r="J639" i="6" s="1"/>
  <c r="G639" i="6"/>
  <c r="I639" i="6" s="1"/>
  <c r="E639" i="6"/>
  <c r="H638" i="6"/>
  <c r="J638" i="6" s="1"/>
  <c r="G638" i="6"/>
  <c r="I638" i="6" s="1"/>
  <c r="E638" i="6"/>
  <c r="H637" i="6"/>
  <c r="J637" i="6" s="1"/>
  <c r="G637" i="6"/>
  <c r="I637" i="6" s="1"/>
  <c r="E637" i="6"/>
  <c r="H636" i="6"/>
  <c r="J636" i="6" s="1"/>
  <c r="G636" i="6"/>
  <c r="I636" i="6" s="1"/>
  <c r="E636" i="6"/>
  <c r="H635" i="6"/>
  <c r="J635" i="6" s="1"/>
  <c r="G635" i="6"/>
  <c r="I635" i="6" s="1"/>
  <c r="E635" i="6"/>
  <c r="H634" i="6"/>
  <c r="J634" i="6" s="1"/>
  <c r="G634" i="6"/>
  <c r="I634" i="6" s="1"/>
  <c r="E634" i="6"/>
  <c r="H633" i="6"/>
  <c r="J633" i="6" s="1"/>
  <c r="G633" i="6"/>
  <c r="I633" i="6" s="1"/>
  <c r="E633" i="6"/>
  <c r="H632" i="6"/>
  <c r="J632" i="6" s="1"/>
  <c r="G632" i="6"/>
  <c r="I632" i="6" s="1"/>
  <c r="E632" i="6"/>
  <c r="H631" i="6"/>
  <c r="J631" i="6" s="1"/>
  <c r="G631" i="6"/>
  <c r="I631" i="6" s="1"/>
  <c r="E631" i="6"/>
  <c r="H630" i="6"/>
  <c r="J630" i="6" s="1"/>
  <c r="G630" i="6"/>
  <c r="I630" i="6" s="1"/>
  <c r="E630" i="6"/>
  <c r="F627" i="6"/>
  <c r="K668" i="6" s="1"/>
  <c r="G626" i="6"/>
  <c r="F626" i="6"/>
  <c r="G625" i="6"/>
  <c r="F625" i="6"/>
  <c r="G624" i="6"/>
  <c r="F624" i="6"/>
  <c r="H616" i="6"/>
  <c r="J616" i="6" s="1"/>
  <c r="G616" i="6"/>
  <c r="I616" i="6" s="1"/>
  <c r="E616" i="6"/>
  <c r="H615" i="6"/>
  <c r="J615" i="6" s="1"/>
  <c r="G615" i="6"/>
  <c r="I615" i="6" s="1"/>
  <c r="E615" i="6"/>
  <c r="H614" i="6"/>
  <c r="J614" i="6" s="1"/>
  <c r="G614" i="6"/>
  <c r="I614" i="6" s="1"/>
  <c r="E614" i="6"/>
  <c r="H613" i="6"/>
  <c r="J613" i="6" s="1"/>
  <c r="G613" i="6"/>
  <c r="I613" i="6" s="1"/>
  <c r="E613" i="6"/>
  <c r="G612" i="6"/>
  <c r="I612" i="6" s="1"/>
  <c r="E612" i="6"/>
  <c r="P610" i="6"/>
  <c r="H609" i="6"/>
  <c r="J609" i="6" s="1"/>
  <c r="G609" i="6"/>
  <c r="I609" i="6" s="1"/>
  <c r="E609" i="6"/>
  <c r="H608" i="6"/>
  <c r="J608" i="6" s="1"/>
  <c r="G608" i="6"/>
  <c r="I608" i="6" s="1"/>
  <c r="E608" i="6"/>
  <c r="H607" i="6"/>
  <c r="J607" i="6" s="1"/>
  <c r="G607" i="6"/>
  <c r="I607" i="6" s="1"/>
  <c r="E607" i="6"/>
  <c r="H606" i="6"/>
  <c r="J606" i="6" s="1"/>
  <c r="G606" i="6"/>
  <c r="I606" i="6" s="1"/>
  <c r="E606" i="6"/>
  <c r="H605" i="6"/>
  <c r="J605" i="6" s="1"/>
  <c r="G605" i="6"/>
  <c r="K610" i="6" s="1"/>
  <c r="E605" i="6"/>
  <c r="H602" i="6"/>
  <c r="J602" i="6" s="1"/>
  <c r="G602" i="6"/>
  <c r="I602" i="6" s="1"/>
  <c r="E602" i="6"/>
  <c r="H601" i="6"/>
  <c r="J601" i="6" s="1"/>
  <c r="G601" i="6"/>
  <c r="I601" i="6" s="1"/>
  <c r="E601" i="6"/>
  <c r="H600" i="6"/>
  <c r="J600" i="6" s="1"/>
  <c r="G600" i="6"/>
  <c r="I600" i="6" s="1"/>
  <c r="E600" i="6"/>
  <c r="H599" i="6"/>
  <c r="J599" i="6" s="1"/>
  <c r="G599" i="6"/>
  <c r="I599" i="6" s="1"/>
  <c r="E599" i="6"/>
  <c r="H598" i="6"/>
  <c r="J598" i="6" s="1"/>
  <c r="G598" i="6"/>
  <c r="I598" i="6" s="1"/>
  <c r="E598" i="6"/>
  <c r="H597" i="6"/>
  <c r="J597" i="6" s="1"/>
  <c r="G597" i="6"/>
  <c r="I597" i="6" s="1"/>
  <c r="E597" i="6"/>
  <c r="H596" i="6"/>
  <c r="J596" i="6" s="1"/>
  <c r="G596" i="6"/>
  <c r="I596" i="6" s="1"/>
  <c r="E596" i="6"/>
  <c r="H595" i="6"/>
  <c r="J595" i="6" s="1"/>
  <c r="G595" i="6"/>
  <c r="I595" i="6" s="1"/>
  <c r="E595" i="6"/>
  <c r="H594" i="6"/>
  <c r="J594" i="6" s="1"/>
  <c r="G594" i="6"/>
  <c r="I594" i="6" s="1"/>
  <c r="E594" i="6"/>
  <c r="H593" i="6"/>
  <c r="J593" i="6" s="1"/>
  <c r="G593" i="6"/>
  <c r="I593" i="6" s="1"/>
  <c r="E593" i="6"/>
  <c r="H592" i="6"/>
  <c r="J592" i="6" s="1"/>
  <c r="G592" i="6"/>
  <c r="I592" i="6" s="1"/>
  <c r="E592" i="6"/>
  <c r="H591" i="6"/>
  <c r="J591" i="6" s="1"/>
  <c r="G591" i="6"/>
  <c r="I591" i="6" s="1"/>
  <c r="E591" i="6"/>
  <c r="H590" i="6"/>
  <c r="J590" i="6" s="1"/>
  <c r="G590" i="6"/>
  <c r="I590" i="6" s="1"/>
  <c r="E590" i="6"/>
  <c r="H589" i="6"/>
  <c r="J589" i="6" s="1"/>
  <c r="G589" i="6"/>
  <c r="I589" i="6" s="1"/>
  <c r="E589" i="6"/>
  <c r="H588" i="6"/>
  <c r="J588" i="6" s="1"/>
  <c r="G588" i="6"/>
  <c r="I588" i="6" s="1"/>
  <c r="E588" i="6"/>
  <c r="H587" i="6"/>
  <c r="J587" i="6" s="1"/>
  <c r="G587" i="6"/>
  <c r="I587" i="6" s="1"/>
  <c r="E587" i="6"/>
  <c r="H586" i="6"/>
  <c r="J586" i="6" s="1"/>
  <c r="G586" i="6"/>
  <c r="I586" i="6" s="1"/>
  <c r="E586" i="6"/>
  <c r="H585" i="6"/>
  <c r="J585" i="6" s="1"/>
  <c r="G585" i="6"/>
  <c r="I585" i="6" s="1"/>
  <c r="E585" i="6"/>
  <c r="H584" i="6"/>
  <c r="J584" i="6" s="1"/>
  <c r="G584" i="6"/>
  <c r="I584" i="6" s="1"/>
  <c r="E584" i="6"/>
  <c r="H583" i="6"/>
  <c r="J583" i="6" s="1"/>
  <c r="G583" i="6"/>
  <c r="I583" i="6" s="1"/>
  <c r="E583" i="6"/>
  <c r="F580" i="6"/>
  <c r="K621" i="6" s="1"/>
  <c r="G579" i="6"/>
  <c r="F579" i="6"/>
  <c r="G578" i="6"/>
  <c r="F578" i="6"/>
  <c r="G577" i="6"/>
  <c r="F577" i="6"/>
  <c r="H569" i="6"/>
  <c r="J569" i="6" s="1"/>
  <c r="G569" i="6"/>
  <c r="I569" i="6" s="1"/>
  <c r="E569" i="6"/>
  <c r="H568" i="6"/>
  <c r="J568" i="6" s="1"/>
  <c r="G568" i="6"/>
  <c r="I568" i="6" s="1"/>
  <c r="E568" i="6"/>
  <c r="H567" i="6"/>
  <c r="J567" i="6" s="1"/>
  <c r="G567" i="6"/>
  <c r="I567" i="6" s="1"/>
  <c r="E567" i="6"/>
  <c r="H566" i="6"/>
  <c r="J566" i="6" s="1"/>
  <c r="G566" i="6"/>
  <c r="I566" i="6" s="1"/>
  <c r="E566" i="6"/>
  <c r="G565" i="6"/>
  <c r="I565" i="6" s="1"/>
  <c r="E565" i="6"/>
  <c r="P563" i="6"/>
  <c r="H562" i="6"/>
  <c r="J562" i="6" s="1"/>
  <c r="G562" i="6"/>
  <c r="I562" i="6" s="1"/>
  <c r="E562" i="6"/>
  <c r="H561" i="6"/>
  <c r="J561" i="6" s="1"/>
  <c r="G561" i="6"/>
  <c r="I561" i="6" s="1"/>
  <c r="E561" i="6"/>
  <c r="H560" i="6"/>
  <c r="J560" i="6" s="1"/>
  <c r="G560" i="6"/>
  <c r="I560" i="6" s="1"/>
  <c r="E560" i="6"/>
  <c r="H559" i="6"/>
  <c r="J559" i="6" s="1"/>
  <c r="G559" i="6"/>
  <c r="I559" i="6" s="1"/>
  <c r="E559" i="6"/>
  <c r="H558" i="6"/>
  <c r="J558" i="6" s="1"/>
  <c r="G558" i="6"/>
  <c r="K563" i="6" s="1"/>
  <c r="E558" i="6"/>
  <c r="H555" i="6"/>
  <c r="J555" i="6" s="1"/>
  <c r="G555" i="6"/>
  <c r="I555" i="6" s="1"/>
  <c r="E555" i="6"/>
  <c r="H554" i="6"/>
  <c r="J554" i="6" s="1"/>
  <c r="G554" i="6"/>
  <c r="I554" i="6" s="1"/>
  <c r="E554" i="6"/>
  <c r="H553" i="6"/>
  <c r="J553" i="6" s="1"/>
  <c r="G553" i="6"/>
  <c r="I553" i="6" s="1"/>
  <c r="E553" i="6"/>
  <c r="H552" i="6"/>
  <c r="J552" i="6" s="1"/>
  <c r="G552" i="6"/>
  <c r="I552" i="6" s="1"/>
  <c r="E552" i="6"/>
  <c r="H551" i="6"/>
  <c r="J551" i="6" s="1"/>
  <c r="G551" i="6"/>
  <c r="I551" i="6" s="1"/>
  <c r="E551" i="6"/>
  <c r="H550" i="6"/>
  <c r="J550" i="6" s="1"/>
  <c r="G550" i="6"/>
  <c r="I550" i="6" s="1"/>
  <c r="E550" i="6"/>
  <c r="H549" i="6"/>
  <c r="J549" i="6" s="1"/>
  <c r="G549" i="6"/>
  <c r="I549" i="6" s="1"/>
  <c r="E549" i="6"/>
  <c r="H548" i="6"/>
  <c r="J548" i="6" s="1"/>
  <c r="G548" i="6"/>
  <c r="I548" i="6" s="1"/>
  <c r="E548" i="6"/>
  <c r="H547" i="6"/>
  <c r="J547" i="6" s="1"/>
  <c r="G547" i="6"/>
  <c r="I547" i="6" s="1"/>
  <c r="E547" i="6"/>
  <c r="H546" i="6"/>
  <c r="J546" i="6" s="1"/>
  <c r="G546" i="6"/>
  <c r="I546" i="6" s="1"/>
  <c r="E546" i="6"/>
  <c r="H545" i="6"/>
  <c r="J545" i="6" s="1"/>
  <c r="G545" i="6"/>
  <c r="I545" i="6" s="1"/>
  <c r="E545" i="6"/>
  <c r="H544" i="6"/>
  <c r="J544" i="6" s="1"/>
  <c r="G544" i="6"/>
  <c r="I544" i="6" s="1"/>
  <c r="E544" i="6"/>
  <c r="H543" i="6"/>
  <c r="J543" i="6" s="1"/>
  <c r="G543" i="6"/>
  <c r="I543" i="6" s="1"/>
  <c r="E543" i="6"/>
  <c r="H542" i="6"/>
  <c r="J542" i="6" s="1"/>
  <c r="G542" i="6"/>
  <c r="I542" i="6" s="1"/>
  <c r="E542" i="6"/>
  <c r="H541" i="6"/>
  <c r="J541" i="6" s="1"/>
  <c r="G541" i="6"/>
  <c r="I541" i="6" s="1"/>
  <c r="E541" i="6"/>
  <c r="H540" i="6"/>
  <c r="J540" i="6" s="1"/>
  <c r="G540" i="6"/>
  <c r="I540" i="6" s="1"/>
  <c r="E540" i="6"/>
  <c r="H539" i="6"/>
  <c r="J539" i="6" s="1"/>
  <c r="G539" i="6"/>
  <c r="I539" i="6" s="1"/>
  <c r="E539" i="6"/>
  <c r="H538" i="6"/>
  <c r="J538" i="6" s="1"/>
  <c r="G538" i="6"/>
  <c r="I538" i="6" s="1"/>
  <c r="E538" i="6"/>
  <c r="H537" i="6"/>
  <c r="J537" i="6" s="1"/>
  <c r="G537" i="6"/>
  <c r="I537" i="6" s="1"/>
  <c r="E537" i="6"/>
  <c r="H536" i="6"/>
  <c r="J536" i="6" s="1"/>
  <c r="G536" i="6"/>
  <c r="I536" i="6" s="1"/>
  <c r="E536" i="6"/>
  <c r="F533" i="6"/>
  <c r="K574" i="6" s="1"/>
  <c r="G532" i="6"/>
  <c r="F532" i="6"/>
  <c r="G531" i="6"/>
  <c r="F531" i="6"/>
  <c r="G530" i="6"/>
  <c r="F530" i="6"/>
  <c r="H522" i="6"/>
  <c r="J522" i="6" s="1"/>
  <c r="G522" i="6"/>
  <c r="I522" i="6" s="1"/>
  <c r="E522" i="6"/>
  <c r="H521" i="6"/>
  <c r="J521" i="6" s="1"/>
  <c r="G521" i="6"/>
  <c r="I521" i="6" s="1"/>
  <c r="E521" i="6"/>
  <c r="H520" i="6"/>
  <c r="J520" i="6" s="1"/>
  <c r="G520" i="6"/>
  <c r="I520" i="6" s="1"/>
  <c r="E520" i="6"/>
  <c r="H519" i="6"/>
  <c r="J519" i="6" s="1"/>
  <c r="G519" i="6"/>
  <c r="I519" i="6" s="1"/>
  <c r="E519" i="6"/>
  <c r="G518" i="6"/>
  <c r="I518" i="6" s="1"/>
  <c r="E518" i="6"/>
  <c r="P516" i="6"/>
  <c r="H515" i="6"/>
  <c r="J515" i="6" s="1"/>
  <c r="G515" i="6"/>
  <c r="I515" i="6" s="1"/>
  <c r="E515" i="6"/>
  <c r="H514" i="6"/>
  <c r="J514" i="6" s="1"/>
  <c r="G514" i="6"/>
  <c r="I514" i="6" s="1"/>
  <c r="E514" i="6"/>
  <c r="H513" i="6"/>
  <c r="J513" i="6" s="1"/>
  <c r="G513" i="6"/>
  <c r="I513" i="6" s="1"/>
  <c r="E513" i="6"/>
  <c r="H512" i="6"/>
  <c r="J512" i="6" s="1"/>
  <c r="G512" i="6"/>
  <c r="I512" i="6" s="1"/>
  <c r="E512" i="6"/>
  <c r="H511" i="6"/>
  <c r="J511" i="6" s="1"/>
  <c r="G511" i="6"/>
  <c r="K516" i="6" s="1"/>
  <c r="E511" i="6"/>
  <c r="H508" i="6"/>
  <c r="J508" i="6" s="1"/>
  <c r="G508" i="6"/>
  <c r="I508" i="6" s="1"/>
  <c r="E508" i="6"/>
  <c r="H507" i="6"/>
  <c r="J507" i="6" s="1"/>
  <c r="G507" i="6"/>
  <c r="I507" i="6" s="1"/>
  <c r="E507" i="6"/>
  <c r="H506" i="6"/>
  <c r="J506" i="6" s="1"/>
  <c r="G506" i="6"/>
  <c r="I506" i="6" s="1"/>
  <c r="E506" i="6"/>
  <c r="H505" i="6"/>
  <c r="J505" i="6" s="1"/>
  <c r="G505" i="6"/>
  <c r="I505" i="6" s="1"/>
  <c r="E505" i="6"/>
  <c r="H504" i="6"/>
  <c r="J504" i="6" s="1"/>
  <c r="G504" i="6"/>
  <c r="I504" i="6" s="1"/>
  <c r="E504" i="6"/>
  <c r="H503" i="6"/>
  <c r="J503" i="6" s="1"/>
  <c r="G503" i="6"/>
  <c r="I503" i="6" s="1"/>
  <c r="E503" i="6"/>
  <c r="H502" i="6"/>
  <c r="J502" i="6" s="1"/>
  <c r="G502" i="6"/>
  <c r="I502" i="6" s="1"/>
  <c r="E502" i="6"/>
  <c r="H501" i="6"/>
  <c r="J501" i="6" s="1"/>
  <c r="G501" i="6"/>
  <c r="I501" i="6" s="1"/>
  <c r="E501" i="6"/>
  <c r="H500" i="6"/>
  <c r="J500" i="6" s="1"/>
  <c r="G500" i="6"/>
  <c r="I500" i="6" s="1"/>
  <c r="E500" i="6"/>
  <c r="H499" i="6"/>
  <c r="J499" i="6" s="1"/>
  <c r="G499" i="6"/>
  <c r="I499" i="6" s="1"/>
  <c r="E499" i="6"/>
  <c r="H498" i="6"/>
  <c r="J498" i="6" s="1"/>
  <c r="G498" i="6"/>
  <c r="I498" i="6" s="1"/>
  <c r="E498" i="6"/>
  <c r="H497" i="6"/>
  <c r="J497" i="6" s="1"/>
  <c r="G497" i="6"/>
  <c r="I497" i="6" s="1"/>
  <c r="E497" i="6"/>
  <c r="H496" i="6"/>
  <c r="J496" i="6" s="1"/>
  <c r="G496" i="6"/>
  <c r="I496" i="6" s="1"/>
  <c r="E496" i="6"/>
  <c r="H495" i="6"/>
  <c r="J495" i="6" s="1"/>
  <c r="G495" i="6"/>
  <c r="I495" i="6" s="1"/>
  <c r="E495" i="6"/>
  <c r="H494" i="6"/>
  <c r="J494" i="6" s="1"/>
  <c r="G494" i="6"/>
  <c r="I494" i="6" s="1"/>
  <c r="E494" i="6"/>
  <c r="H493" i="6"/>
  <c r="J493" i="6" s="1"/>
  <c r="G493" i="6"/>
  <c r="I493" i="6" s="1"/>
  <c r="E493" i="6"/>
  <c r="H492" i="6"/>
  <c r="J492" i="6" s="1"/>
  <c r="G492" i="6"/>
  <c r="I492" i="6" s="1"/>
  <c r="E492" i="6"/>
  <c r="H491" i="6"/>
  <c r="J491" i="6" s="1"/>
  <c r="G491" i="6"/>
  <c r="I491" i="6" s="1"/>
  <c r="E491" i="6"/>
  <c r="H490" i="6"/>
  <c r="J490" i="6" s="1"/>
  <c r="G490" i="6"/>
  <c r="I490" i="6" s="1"/>
  <c r="E490" i="6"/>
  <c r="H489" i="6"/>
  <c r="J489" i="6" s="1"/>
  <c r="G489" i="6"/>
  <c r="I489" i="6" s="1"/>
  <c r="E489" i="6"/>
  <c r="F486" i="6"/>
  <c r="K527" i="6" s="1"/>
  <c r="G485" i="6"/>
  <c r="F485" i="6"/>
  <c r="G484" i="6"/>
  <c r="F484" i="6"/>
  <c r="G483" i="6"/>
  <c r="F483" i="6"/>
  <c r="H475" i="6"/>
  <c r="J475" i="6" s="1"/>
  <c r="G475" i="6"/>
  <c r="I475" i="6" s="1"/>
  <c r="E475" i="6"/>
  <c r="H474" i="6"/>
  <c r="J474" i="6" s="1"/>
  <c r="G474" i="6"/>
  <c r="I474" i="6" s="1"/>
  <c r="E474" i="6"/>
  <c r="H473" i="6"/>
  <c r="J473" i="6" s="1"/>
  <c r="G473" i="6"/>
  <c r="I473" i="6" s="1"/>
  <c r="E473" i="6"/>
  <c r="H472" i="6"/>
  <c r="J472" i="6" s="1"/>
  <c r="G472" i="6"/>
  <c r="I472" i="6" s="1"/>
  <c r="E472" i="6"/>
  <c r="G471" i="6"/>
  <c r="I471" i="6" s="1"/>
  <c r="E471" i="6"/>
  <c r="P469" i="6"/>
  <c r="H468" i="6"/>
  <c r="J468" i="6" s="1"/>
  <c r="G468" i="6"/>
  <c r="I468" i="6" s="1"/>
  <c r="E468" i="6"/>
  <c r="H467" i="6"/>
  <c r="J467" i="6" s="1"/>
  <c r="G467" i="6"/>
  <c r="I467" i="6" s="1"/>
  <c r="E467" i="6"/>
  <c r="H466" i="6"/>
  <c r="J466" i="6" s="1"/>
  <c r="G466" i="6"/>
  <c r="I466" i="6" s="1"/>
  <c r="E466" i="6"/>
  <c r="H465" i="6"/>
  <c r="J465" i="6" s="1"/>
  <c r="G465" i="6"/>
  <c r="I465" i="6" s="1"/>
  <c r="E465" i="6"/>
  <c r="H464" i="6"/>
  <c r="J464" i="6" s="1"/>
  <c r="G464" i="6"/>
  <c r="K469" i="6" s="1"/>
  <c r="E464" i="6"/>
  <c r="H461" i="6"/>
  <c r="J461" i="6" s="1"/>
  <c r="G461" i="6"/>
  <c r="I461" i="6" s="1"/>
  <c r="E461" i="6"/>
  <c r="H460" i="6"/>
  <c r="J460" i="6" s="1"/>
  <c r="G460" i="6"/>
  <c r="I460" i="6" s="1"/>
  <c r="E460" i="6"/>
  <c r="H459" i="6"/>
  <c r="J459" i="6" s="1"/>
  <c r="G459" i="6"/>
  <c r="I459" i="6" s="1"/>
  <c r="E459" i="6"/>
  <c r="H458" i="6"/>
  <c r="J458" i="6" s="1"/>
  <c r="G458" i="6"/>
  <c r="I458" i="6" s="1"/>
  <c r="E458" i="6"/>
  <c r="H457" i="6"/>
  <c r="J457" i="6" s="1"/>
  <c r="G457" i="6"/>
  <c r="I457" i="6" s="1"/>
  <c r="E457" i="6"/>
  <c r="H456" i="6"/>
  <c r="J456" i="6" s="1"/>
  <c r="G456" i="6"/>
  <c r="I456" i="6" s="1"/>
  <c r="E456" i="6"/>
  <c r="H455" i="6"/>
  <c r="J455" i="6" s="1"/>
  <c r="G455" i="6"/>
  <c r="I455" i="6" s="1"/>
  <c r="E455" i="6"/>
  <c r="H454" i="6"/>
  <c r="J454" i="6" s="1"/>
  <c r="G454" i="6"/>
  <c r="I454" i="6" s="1"/>
  <c r="E454" i="6"/>
  <c r="H453" i="6"/>
  <c r="J453" i="6" s="1"/>
  <c r="G453" i="6"/>
  <c r="I453" i="6" s="1"/>
  <c r="E453" i="6"/>
  <c r="H452" i="6"/>
  <c r="J452" i="6" s="1"/>
  <c r="G452" i="6"/>
  <c r="I452" i="6" s="1"/>
  <c r="E452" i="6"/>
  <c r="H451" i="6"/>
  <c r="J451" i="6" s="1"/>
  <c r="G451" i="6"/>
  <c r="I451" i="6" s="1"/>
  <c r="E451" i="6"/>
  <c r="H450" i="6"/>
  <c r="J450" i="6" s="1"/>
  <c r="G450" i="6"/>
  <c r="I450" i="6" s="1"/>
  <c r="E450" i="6"/>
  <c r="H449" i="6"/>
  <c r="J449" i="6" s="1"/>
  <c r="G449" i="6"/>
  <c r="I449" i="6" s="1"/>
  <c r="E449" i="6"/>
  <c r="H448" i="6"/>
  <c r="J448" i="6" s="1"/>
  <c r="G448" i="6"/>
  <c r="I448" i="6" s="1"/>
  <c r="E448" i="6"/>
  <c r="H447" i="6"/>
  <c r="J447" i="6" s="1"/>
  <c r="G447" i="6"/>
  <c r="I447" i="6" s="1"/>
  <c r="E447" i="6"/>
  <c r="H446" i="6"/>
  <c r="J446" i="6" s="1"/>
  <c r="G446" i="6"/>
  <c r="I446" i="6" s="1"/>
  <c r="E446" i="6"/>
  <c r="H445" i="6"/>
  <c r="J445" i="6" s="1"/>
  <c r="G445" i="6"/>
  <c r="I445" i="6" s="1"/>
  <c r="E445" i="6"/>
  <c r="H444" i="6"/>
  <c r="J444" i="6" s="1"/>
  <c r="G444" i="6"/>
  <c r="I444" i="6" s="1"/>
  <c r="E444" i="6"/>
  <c r="H443" i="6"/>
  <c r="J443" i="6" s="1"/>
  <c r="G443" i="6"/>
  <c r="I443" i="6" s="1"/>
  <c r="E443" i="6"/>
  <c r="H442" i="6"/>
  <c r="J442" i="6" s="1"/>
  <c r="G442" i="6"/>
  <c r="I442" i="6" s="1"/>
  <c r="E442" i="6"/>
  <c r="F439" i="6"/>
  <c r="K480" i="6" s="1"/>
  <c r="G438" i="6"/>
  <c r="F438" i="6"/>
  <c r="G437" i="6"/>
  <c r="F437" i="6"/>
  <c r="G436" i="6"/>
  <c r="F436" i="6"/>
  <c r="H428" i="6"/>
  <c r="J428" i="6" s="1"/>
  <c r="G428" i="6"/>
  <c r="I428" i="6" s="1"/>
  <c r="E428" i="6"/>
  <c r="H427" i="6"/>
  <c r="J427" i="6" s="1"/>
  <c r="G427" i="6"/>
  <c r="I427" i="6" s="1"/>
  <c r="E427" i="6"/>
  <c r="H426" i="6"/>
  <c r="J426" i="6" s="1"/>
  <c r="G426" i="6"/>
  <c r="I426" i="6" s="1"/>
  <c r="E426" i="6"/>
  <c r="H425" i="6"/>
  <c r="J425" i="6" s="1"/>
  <c r="G425" i="6"/>
  <c r="I425" i="6" s="1"/>
  <c r="E425" i="6"/>
  <c r="G424" i="6"/>
  <c r="I424" i="6" s="1"/>
  <c r="E424" i="6"/>
  <c r="P422" i="6"/>
  <c r="H421" i="6"/>
  <c r="J421" i="6" s="1"/>
  <c r="G421" i="6"/>
  <c r="I421" i="6" s="1"/>
  <c r="E421" i="6"/>
  <c r="H420" i="6"/>
  <c r="J420" i="6" s="1"/>
  <c r="G420" i="6"/>
  <c r="I420" i="6" s="1"/>
  <c r="E420" i="6"/>
  <c r="H419" i="6"/>
  <c r="J419" i="6" s="1"/>
  <c r="G419" i="6"/>
  <c r="I419" i="6" s="1"/>
  <c r="E419" i="6"/>
  <c r="H418" i="6"/>
  <c r="J418" i="6" s="1"/>
  <c r="G418" i="6"/>
  <c r="I418" i="6" s="1"/>
  <c r="E418" i="6"/>
  <c r="H417" i="6"/>
  <c r="J417" i="6" s="1"/>
  <c r="G417" i="6"/>
  <c r="K422" i="6" s="1"/>
  <c r="E417" i="6"/>
  <c r="H414" i="6"/>
  <c r="J414" i="6" s="1"/>
  <c r="G414" i="6"/>
  <c r="I414" i="6" s="1"/>
  <c r="E414" i="6"/>
  <c r="H413" i="6"/>
  <c r="J413" i="6" s="1"/>
  <c r="G413" i="6"/>
  <c r="I413" i="6" s="1"/>
  <c r="E413" i="6"/>
  <c r="H412" i="6"/>
  <c r="J412" i="6" s="1"/>
  <c r="G412" i="6"/>
  <c r="I412" i="6" s="1"/>
  <c r="E412" i="6"/>
  <c r="H411" i="6"/>
  <c r="J411" i="6" s="1"/>
  <c r="G411" i="6"/>
  <c r="I411" i="6" s="1"/>
  <c r="E411" i="6"/>
  <c r="H410" i="6"/>
  <c r="J410" i="6" s="1"/>
  <c r="G410" i="6"/>
  <c r="I410" i="6" s="1"/>
  <c r="E410" i="6"/>
  <c r="H409" i="6"/>
  <c r="J409" i="6" s="1"/>
  <c r="G409" i="6"/>
  <c r="I409" i="6" s="1"/>
  <c r="E409" i="6"/>
  <c r="H408" i="6"/>
  <c r="J408" i="6" s="1"/>
  <c r="G408" i="6"/>
  <c r="I408" i="6" s="1"/>
  <c r="E408" i="6"/>
  <c r="H407" i="6"/>
  <c r="J407" i="6" s="1"/>
  <c r="G407" i="6"/>
  <c r="I407" i="6" s="1"/>
  <c r="E407" i="6"/>
  <c r="H406" i="6"/>
  <c r="J406" i="6" s="1"/>
  <c r="G406" i="6"/>
  <c r="I406" i="6" s="1"/>
  <c r="E406" i="6"/>
  <c r="H405" i="6"/>
  <c r="J405" i="6" s="1"/>
  <c r="G405" i="6"/>
  <c r="I405" i="6" s="1"/>
  <c r="E405" i="6"/>
  <c r="H404" i="6"/>
  <c r="J404" i="6" s="1"/>
  <c r="G404" i="6"/>
  <c r="I404" i="6" s="1"/>
  <c r="E404" i="6"/>
  <c r="H403" i="6"/>
  <c r="J403" i="6" s="1"/>
  <c r="G403" i="6"/>
  <c r="I403" i="6" s="1"/>
  <c r="E403" i="6"/>
  <c r="H402" i="6"/>
  <c r="J402" i="6" s="1"/>
  <c r="G402" i="6"/>
  <c r="I402" i="6" s="1"/>
  <c r="E402" i="6"/>
  <c r="H401" i="6"/>
  <c r="J401" i="6" s="1"/>
  <c r="G401" i="6"/>
  <c r="I401" i="6" s="1"/>
  <c r="E401" i="6"/>
  <c r="H400" i="6"/>
  <c r="J400" i="6" s="1"/>
  <c r="G400" i="6"/>
  <c r="I400" i="6" s="1"/>
  <c r="E400" i="6"/>
  <c r="H399" i="6"/>
  <c r="J399" i="6" s="1"/>
  <c r="G399" i="6"/>
  <c r="I399" i="6" s="1"/>
  <c r="E399" i="6"/>
  <c r="H398" i="6"/>
  <c r="J398" i="6" s="1"/>
  <c r="G398" i="6"/>
  <c r="I398" i="6" s="1"/>
  <c r="E398" i="6"/>
  <c r="H397" i="6"/>
  <c r="J397" i="6" s="1"/>
  <c r="G397" i="6"/>
  <c r="I397" i="6" s="1"/>
  <c r="E397" i="6"/>
  <c r="H396" i="6"/>
  <c r="J396" i="6" s="1"/>
  <c r="G396" i="6"/>
  <c r="I396" i="6" s="1"/>
  <c r="E396" i="6"/>
  <c r="H395" i="6"/>
  <c r="J395" i="6" s="1"/>
  <c r="G395" i="6"/>
  <c r="I395" i="6" s="1"/>
  <c r="E395" i="6"/>
  <c r="F392" i="6"/>
  <c r="K433" i="6" s="1"/>
  <c r="G391" i="6"/>
  <c r="F391" i="6"/>
  <c r="G390" i="6"/>
  <c r="F390" i="6"/>
  <c r="G389" i="6"/>
  <c r="F389" i="6"/>
  <c r="H381" i="6"/>
  <c r="J381" i="6" s="1"/>
  <c r="G381" i="6"/>
  <c r="I381" i="6" s="1"/>
  <c r="E381" i="6"/>
  <c r="H380" i="6"/>
  <c r="J380" i="6" s="1"/>
  <c r="G380" i="6"/>
  <c r="I380" i="6" s="1"/>
  <c r="E380" i="6"/>
  <c r="H379" i="6"/>
  <c r="J379" i="6" s="1"/>
  <c r="G379" i="6"/>
  <c r="I379" i="6" s="1"/>
  <c r="E379" i="6"/>
  <c r="H378" i="6"/>
  <c r="J378" i="6" s="1"/>
  <c r="G378" i="6"/>
  <c r="I378" i="6" s="1"/>
  <c r="E378" i="6"/>
  <c r="G377" i="6"/>
  <c r="I377" i="6" s="1"/>
  <c r="E377" i="6"/>
  <c r="P375" i="6"/>
  <c r="R375" i="6" s="1"/>
  <c r="H374" i="6"/>
  <c r="J374" i="6" s="1"/>
  <c r="G374" i="6"/>
  <c r="I374" i="6" s="1"/>
  <c r="E374" i="6"/>
  <c r="H373" i="6"/>
  <c r="J373" i="6" s="1"/>
  <c r="G373" i="6"/>
  <c r="I373" i="6" s="1"/>
  <c r="E373" i="6"/>
  <c r="H372" i="6"/>
  <c r="J372" i="6" s="1"/>
  <c r="G372" i="6"/>
  <c r="I372" i="6" s="1"/>
  <c r="E372" i="6"/>
  <c r="H371" i="6"/>
  <c r="J371" i="6" s="1"/>
  <c r="G371" i="6"/>
  <c r="I371" i="6" s="1"/>
  <c r="E371" i="6"/>
  <c r="H370" i="6"/>
  <c r="J370" i="6" s="1"/>
  <c r="G370" i="6"/>
  <c r="K375" i="6" s="1"/>
  <c r="E370" i="6"/>
  <c r="H367" i="6"/>
  <c r="J367" i="6" s="1"/>
  <c r="G367" i="6"/>
  <c r="I367" i="6" s="1"/>
  <c r="E367" i="6"/>
  <c r="H366" i="6"/>
  <c r="J366" i="6" s="1"/>
  <c r="G366" i="6"/>
  <c r="I366" i="6" s="1"/>
  <c r="E366" i="6"/>
  <c r="H365" i="6"/>
  <c r="J365" i="6" s="1"/>
  <c r="G365" i="6"/>
  <c r="I365" i="6" s="1"/>
  <c r="E365" i="6"/>
  <c r="H364" i="6"/>
  <c r="J364" i="6" s="1"/>
  <c r="G364" i="6"/>
  <c r="I364" i="6" s="1"/>
  <c r="E364" i="6"/>
  <c r="H363" i="6"/>
  <c r="J363" i="6" s="1"/>
  <c r="G363" i="6"/>
  <c r="I363" i="6" s="1"/>
  <c r="E363" i="6"/>
  <c r="H362" i="6"/>
  <c r="J362" i="6" s="1"/>
  <c r="G362" i="6"/>
  <c r="I362" i="6" s="1"/>
  <c r="E362" i="6"/>
  <c r="H361" i="6"/>
  <c r="J361" i="6" s="1"/>
  <c r="G361" i="6"/>
  <c r="I361" i="6" s="1"/>
  <c r="E361" i="6"/>
  <c r="H360" i="6"/>
  <c r="J360" i="6" s="1"/>
  <c r="G360" i="6"/>
  <c r="I360" i="6" s="1"/>
  <c r="E360" i="6"/>
  <c r="H359" i="6"/>
  <c r="J359" i="6" s="1"/>
  <c r="G359" i="6"/>
  <c r="I359" i="6" s="1"/>
  <c r="E359" i="6"/>
  <c r="H358" i="6"/>
  <c r="J358" i="6" s="1"/>
  <c r="G358" i="6"/>
  <c r="I358" i="6" s="1"/>
  <c r="E358" i="6"/>
  <c r="H357" i="6"/>
  <c r="J357" i="6" s="1"/>
  <c r="G357" i="6"/>
  <c r="I357" i="6" s="1"/>
  <c r="E357" i="6"/>
  <c r="H356" i="6"/>
  <c r="J356" i="6" s="1"/>
  <c r="G356" i="6"/>
  <c r="I356" i="6" s="1"/>
  <c r="E356" i="6"/>
  <c r="H355" i="6"/>
  <c r="J355" i="6" s="1"/>
  <c r="G355" i="6"/>
  <c r="I355" i="6" s="1"/>
  <c r="E355" i="6"/>
  <c r="H354" i="6"/>
  <c r="J354" i="6" s="1"/>
  <c r="G354" i="6"/>
  <c r="I354" i="6" s="1"/>
  <c r="E354" i="6"/>
  <c r="H353" i="6"/>
  <c r="J353" i="6" s="1"/>
  <c r="G353" i="6"/>
  <c r="I353" i="6" s="1"/>
  <c r="E353" i="6"/>
  <c r="H352" i="6"/>
  <c r="J352" i="6" s="1"/>
  <c r="G352" i="6"/>
  <c r="I352" i="6" s="1"/>
  <c r="E352" i="6"/>
  <c r="H351" i="6"/>
  <c r="J351" i="6" s="1"/>
  <c r="G351" i="6"/>
  <c r="I351" i="6" s="1"/>
  <c r="E351" i="6"/>
  <c r="H350" i="6"/>
  <c r="J350" i="6" s="1"/>
  <c r="G350" i="6"/>
  <c r="I350" i="6" s="1"/>
  <c r="E350" i="6"/>
  <c r="H349" i="6"/>
  <c r="J349" i="6" s="1"/>
  <c r="G349" i="6"/>
  <c r="I349" i="6" s="1"/>
  <c r="E349" i="6"/>
  <c r="H348" i="6"/>
  <c r="J348" i="6" s="1"/>
  <c r="G348" i="6"/>
  <c r="I348" i="6" s="1"/>
  <c r="E348" i="6"/>
  <c r="F345" i="6"/>
  <c r="K386" i="6" s="1"/>
  <c r="G344" i="6"/>
  <c r="F344" i="6"/>
  <c r="G343" i="6"/>
  <c r="F343" i="6"/>
  <c r="G342" i="6"/>
  <c r="F342" i="6"/>
  <c r="H334" i="6"/>
  <c r="J334" i="6" s="1"/>
  <c r="G334" i="6"/>
  <c r="I334" i="6" s="1"/>
  <c r="E334" i="6"/>
  <c r="H333" i="6"/>
  <c r="J333" i="6" s="1"/>
  <c r="G333" i="6"/>
  <c r="I333" i="6" s="1"/>
  <c r="E333" i="6"/>
  <c r="H332" i="6"/>
  <c r="J332" i="6" s="1"/>
  <c r="G332" i="6"/>
  <c r="I332" i="6" s="1"/>
  <c r="E332" i="6"/>
  <c r="H331" i="6"/>
  <c r="J331" i="6" s="1"/>
  <c r="G331" i="6"/>
  <c r="I331" i="6" s="1"/>
  <c r="E331" i="6"/>
  <c r="G330" i="6"/>
  <c r="I330" i="6" s="1"/>
  <c r="E330" i="6"/>
  <c r="P328" i="6"/>
  <c r="H327" i="6"/>
  <c r="J327" i="6" s="1"/>
  <c r="G327" i="6"/>
  <c r="I327" i="6" s="1"/>
  <c r="E327" i="6"/>
  <c r="H326" i="6"/>
  <c r="J326" i="6" s="1"/>
  <c r="G326" i="6"/>
  <c r="I326" i="6" s="1"/>
  <c r="E326" i="6"/>
  <c r="H325" i="6"/>
  <c r="J325" i="6" s="1"/>
  <c r="G325" i="6"/>
  <c r="I325" i="6" s="1"/>
  <c r="E325" i="6"/>
  <c r="H324" i="6"/>
  <c r="J324" i="6" s="1"/>
  <c r="G324" i="6"/>
  <c r="I324" i="6" s="1"/>
  <c r="E324" i="6"/>
  <c r="H323" i="6"/>
  <c r="J323" i="6" s="1"/>
  <c r="G323" i="6"/>
  <c r="K328" i="6" s="1"/>
  <c r="E323" i="6"/>
  <c r="H320" i="6"/>
  <c r="J320" i="6" s="1"/>
  <c r="G320" i="6"/>
  <c r="I320" i="6" s="1"/>
  <c r="E320" i="6"/>
  <c r="H319" i="6"/>
  <c r="J319" i="6" s="1"/>
  <c r="G319" i="6"/>
  <c r="I319" i="6" s="1"/>
  <c r="E319" i="6"/>
  <c r="H318" i="6"/>
  <c r="J318" i="6" s="1"/>
  <c r="G318" i="6"/>
  <c r="I318" i="6" s="1"/>
  <c r="E318" i="6"/>
  <c r="H317" i="6"/>
  <c r="J317" i="6" s="1"/>
  <c r="G317" i="6"/>
  <c r="I317" i="6" s="1"/>
  <c r="E317" i="6"/>
  <c r="H316" i="6"/>
  <c r="J316" i="6" s="1"/>
  <c r="G316" i="6"/>
  <c r="I316" i="6" s="1"/>
  <c r="E316" i="6"/>
  <c r="H315" i="6"/>
  <c r="J315" i="6" s="1"/>
  <c r="G315" i="6"/>
  <c r="I315" i="6" s="1"/>
  <c r="E315" i="6"/>
  <c r="H314" i="6"/>
  <c r="J314" i="6" s="1"/>
  <c r="G314" i="6"/>
  <c r="I314" i="6" s="1"/>
  <c r="E314" i="6"/>
  <c r="H313" i="6"/>
  <c r="J313" i="6" s="1"/>
  <c r="G313" i="6"/>
  <c r="I313" i="6" s="1"/>
  <c r="E313" i="6"/>
  <c r="H312" i="6"/>
  <c r="J312" i="6" s="1"/>
  <c r="G312" i="6"/>
  <c r="I312" i="6" s="1"/>
  <c r="E312" i="6"/>
  <c r="H311" i="6"/>
  <c r="J311" i="6" s="1"/>
  <c r="G311" i="6"/>
  <c r="I311" i="6" s="1"/>
  <c r="E311" i="6"/>
  <c r="H310" i="6"/>
  <c r="J310" i="6" s="1"/>
  <c r="G310" i="6"/>
  <c r="I310" i="6" s="1"/>
  <c r="E310" i="6"/>
  <c r="H309" i="6"/>
  <c r="J309" i="6" s="1"/>
  <c r="G309" i="6"/>
  <c r="I309" i="6" s="1"/>
  <c r="E309" i="6"/>
  <c r="H308" i="6"/>
  <c r="J308" i="6" s="1"/>
  <c r="G308" i="6"/>
  <c r="I308" i="6" s="1"/>
  <c r="E308" i="6"/>
  <c r="H307" i="6"/>
  <c r="J307" i="6" s="1"/>
  <c r="G307" i="6"/>
  <c r="I307" i="6" s="1"/>
  <c r="E307" i="6"/>
  <c r="H306" i="6"/>
  <c r="J306" i="6" s="1"/>
  <c r="G306" i="6"/>
  <c r="I306" i="6" s="1"/>
  <c r="E306" i="6"/>
  <c r="H305" i="6"/>
  <c r="J305" i="6" s="1"/>
  <c r="G305" i="6"/>
  <c r="I305" i="6" s="1"/>
  <c r="E305" i="6"/>
  <c r="H304" i="6"/>
  <c r="J304" i="6" s="1"/>
  <c r="G304" i="6"/>
  <c r="I304" i="6" s="1"/>
  <c r="E304" i="6"/>
  <c r="H303" i="6"/>
  <c r="J303" i="6" s="1"/>
  <c r="G303" i="6"/>
  <c r="I303" i="6" s="1"/>
  <c r="E303" i="6"/>
  <c r="H302" i="6"/>
  <c r="J302" i="6" s="1"/>
  <c r="G302" i="6"/>
  <c r="I302" i="6" s="1"/>
  <c r="E302" i="6"/>
  <c r="H301" i="6"/>
  <c r="J301" i="6" s="1"/>
  <c r="G301" i="6"/>
  <c r="I301" i="6" s="1"/>
  <c r="E301" i="6"/>
  <c r="F298" i="6"/>
  <c r="K339" i="6" s="1"/>
  <c r="G297" i="6"/>
  <c r="F297" i="6"/>
  <c r="G296" i="6"/>
  <c r="F296" i="6"/>
  <c r="G295" i="6"/>
  <c r="F295" i="6"/>
  <c r="H287" i="6"/>
  <c r="J287" i="6" s="1"/>
  <c r="G287" i="6"/>
  <c r="I287" i="6" s="1"/>
  <c r="E287" i="6"/>
  <c r="H286" i="6"/>
  <c r="J286" i="6" s="1"/>
  <c r="G286" i="6"/>
  <c r="I286" i="6" s="1"/>
  <c r="E286" i="6"/>
  <c r="H285" i="6"/>
  <c r="J285" i="6" s="1"/>
  <c r="G285" i="6"/>
  <c r="I285" i="6" s="1"/>
  <c r="E285" i="6"/>
  <c r="H284" i="6"/>
  <c r="J284" i="6" s="1"/>
  <c r="G284" i="6"/>
  <c r="I284" i="6" s="1"/>
  <c r="E284" i="6"/>
  <c r="G283" i="6"/>
  <c r="I283" i="6" s="1"/>
  <c r="E283" i="6"/>
  <c r="P281" i="6"/>
  <c r="R281" i="6" s="1"/>
  <c r="H280" i="6"/>
  <c r="J280" i="6" s="1"/>
  <c r="G280" i="6"/>
  <c r="I280" i="6" s="1"/>
  <c r="E280" i="6"/>
  <c r="H279" i="6"/>
  <c r="J279" i="6" s="1"/>
  <c r="G279" i="6"/>
  <c r="I279" i="6" s="1"/>
  <c r="E279" i="6"/>
  <c r="H278" i="6"/>
  <c r="J278" i="6" s="1"/>
  <c r="G278" i="6"/>
  <c r="I278" i="6" s="1"/>
  <c r="E278" i="6"/>
  <c r="H277" i="6"/>
  <c r="J277" i="6" s="1"/>
  <c r="G277" i="6"/>
  <c r="I277" i="6" s="1"/>
  <c r="E277" i="6"/>
  <c r="H276" i="6"/>
  <c r="J276" i="6" s="1"/>
  <c r="G276" i="6"/>
  <c r="K281" i="6" s="1"/>
  <c r="E276" i="6"/>
  <c r="H273" i="6"/>
  <c r="J273" i="6" s="1"/>
  <c r="G273" i="6"/>
  <c r="I273" i="6" s="1"/>
  <c r="E273" i="6"/>
  <c r="H272" i="6"/>
  <c r="J272" i="6" s="1"/>
  <c r="G272" i="6"/>
  <c r="I272" i="6" s="1"/>
  <c r="E272" i="6"/>
  <c r="H271" i="6"/>
  <c r="J271" i="6" s="1"/>
  <c r="G271" i="6"/>
  <c r="I271" i="6" s="1"/>
  <c r="E271" i="6"/>
  <c r="H270" i="6"/>
  <c r="J270" i="6" s="1"/>
  <c r="G270" i="6"/>
  <c r="I270" i="6" s="1"/>
  <c r="E270" i="6"/>
  <c r="H269" i="6"/>
  <c r="J269" i="6" s="1"/>
  <c r="G269" i="6"/>
  <c r="I269" i="6" s="1"/>
  <c r="E269" i="6"/>
  <c r="H268" i="6"/>
  <c r="J268" i="6" s="1"/>
  <c r="G268" i="6"/>
  <c r="I268" i="6" s="1"/>
  <c r="E268" i="6"/>
  <c r="H267" i="6"/>
  <c r="J267" i="6" s="1"/>
  <c r="G267" i="6"/>
  <c r="I267" i="6" s="1"/>
  <c r="E267" i="6"/>
  <c r="H266" i="6"/>
  <c r="J266" i="6" s="1"/>
  <c r="G266" i="6"/>
  <c r="I266" i="6" s="1"/>
  <c r="E266" i="6"/>
  <c r="H265" i="6"/>
  <c r="J265" i="6" s="1"/>
  <c r="G265" i="6"/>
  <c r="I265" i="6" s="1"/>
  <c r="E265" i="6"/>
  <c r="H264" i="6"/>
  <c r="J264" i="6" s="1"/>
  <c r="G264" i="6"/>
  <c r="I264" i="6" s="1"/>
  <c r="E264" i="6"/>
  <c r="H263" i="6"/>
  <c r="J263" i="6" s="1"/>
  <c r="G263" i="6"/>
  <c r="I263" i="6" s="1"/>
  <c r="E263" i="6"/>
  <c r="H262" i="6"/>
  <c r="J262" i="6" s="1"/>
  <c r="G262" i="6"/>
  <c r="I262" i="6" s="1"/>
  <c r="E262" i="6"/>
  <c r="H261" i="6"/>
  <c r="J261" i="6" s="1"/>
  <c r="G261" i="6"/>
  <c r="I261" i="6" s="1"/>
  <c r="E261" i="6"/>
  <c r="H260" i="6"/>
  <c r="J260" i="6" s="1"/>
  <c r="G260" i="6"/>
  <c r="I260" i="6" s="1"/>
  <c r="E260" i="6"/>
  <c r="H259" i="6"/>
  <c r="J259" i="6" s="1"/>
  <c r="G259" i="6"/>
  <c r="I259" i="6" s="1"/>
  <c r="E259" i="6"/>
  <c r="H258" i="6"/>
  <c r="J258" i="6" s="1"/>
  <c r="G258" i="6"/>
  <c r="I258" i="6" s="1"/>
  <c r="E258" i="6"/>
  <c r="H257" i="6"/>
  <c r="J257" i="6" s="1"/>
  <c r="G257" i="6"/>
  <c r="I257" i="6" s="1"/>
  <c r="E257" i="6"/>
  <c r="H256" i="6"/>
  <c r="J256" i="6" s="1"/>
  <c r="G256" i="6"/>
  <c r="I256" i="6" s="1"/>
  <c r="E256" i="6"/>
  <c r="H255" i="6"/>
  <c r="J255" i="6" s="1"/>
  <c r="G255" i="6"/>
  <c r="I255" i="6" s="1"/>
  <c r="E255" i="6"/>
  <c r="G254" i="6"/>
  <c r="I254" i="6" s="1"/>
  <c r="E254" i="6"/>
  <c r="F251" i="6"/>
  <c r="K292" i="6" s="1"/>
  <c r="G250" i="6"/>
  <c r="F250" i="6"/>
  <c r="G249" i="6"/>
  <c r="F249" i="6"/>
  <c r="G248" i="6"/>
  <c r="F248" i="6"/>
  <c r="H240" i="6"/>
  <c r="J240" i="6" s="1"/>
  <c r="G240" i="6"/>
  <c r="I240" i="6" s="1"/>
  <c r="E240" i="6"/>
  <c r="H239" i="6"/>
  <c r="J239" i="6" s="1"/>
  <c r="G239" i="6"/>
  <c r="I239" i="6" s="1"/>
  <c r="E239" i="6"/>
  <c r="H238" i="6"/>
  <c r="J238" i="6" s="1"/>
  <c r="G238" i="6"/>
  <c r="I238" i="6" s="1"/>
  <c r="E238" i="6"/>
  <c r="H237" i="6"/>
  <c r="J237" i="6" s="1"/>
  <c r="G237" i="6"/>
  <c r="I237" i="6" s="1"/>
  <c r="E237" i="6"/>
  <c r="G236" i="6"/>
  <c r="I236" i="6" s="1"/>
  <c r="E236" i="6"/>
  <c r="P234" i="6"/>
  <c r="R234" i="6" s="1"/>
  <c r="H233" i="6"/>
  <c r="J233" i="6" s="1"/>
  <c r="G233" i="6"/>
  <c r="I233" i="6" s="1"/>
  <c r="E233" i="6"/>
  <c r="H232" i="6"/>
  <c r="J232" i="6" s="1"/>
  <c r="G232" i="6"/>
  <c r="I232" i="6" s="1"/>
  <c r="E232" i="6"/>
  <c r="H231" i="6"/>
  <c r="J231" i="6" s="1"/>
  <c r="G231" i="6"/>
  <c r="I231" i="6" s="1"/>
  <c r="E231" i="6"/>
  <c r="H230" i="6"/>
  <c r="J230" i="6" s="1"/>
  <c r="G230" i="6"/>
  <c r="I230" i="6" s="1"/>
  <c r="E230" i="6"/>
  <c r="H229" i="6"/>
  <c r="J229" i="6" s="1"/>
  <c r="G229" i="6"/>
  <c r="K234" i="6" s="1"/>
  <c r="E229" i="6"/>
  <c r="H226" i="6"/>
  <c r="J226" i="6" s="1"/>
  <c r="G226" i="6"/>
  <c r="I226" i="6" s="1"/>
  <c r="E226" i="6"/>
  <c r="H225" i="6"/>
  <c r="J225" i="6" s="1"/>
  <c r="G225" i="6"/>
  <c r="I225" i="6" s="1"/>
  <c r="E225" i="6"/>
  <c r="H224" i="6"/>
  <c r="J224" i="6" s="1"/>
  <c r="G224" i="6"/>
  <c r="I224" i="6" s="1"/>
  <c r="E224" i="6"/>
  <c r="H223" i="6"/>
  <c r="J223" i="6" s="1"/>
  <c r="G223" i="6"/>
  <c r="I223" i="6" s="1"/>
  <c r="E223" i="6"/>
  <c r="H222" i="6"/>
  <c r="J222" i="6" s="1"/>
  <c r="G222" i="6"/>
  <c r="I222" i="6" s="1"/>
  <c r="E222" i="6"/>
  <c r="H221" i="6"/>
  <c r="J221" i="6" s="1"/>
  <c r="G221" i="6"/>
  <c r="I221" i="6" s="1"/>
  <c r="E221" i="6"/>
  <c r="H220" i="6"/>
  <c r="J220" i="6" s="1"/>
  <c r="G220" i="6"/>
  <c r="I220" i="6" s="1"/>
  <c r="E220" i="6"/>
  <c r="H219" i="6"/>
  <c r="J219" i="6" s="1"/>
  <c r="G219" i="6"/>
  <c r="I219" i="6" s="1"/>
  <c r="E219" i="6"/>
  <c r="H218" i="6"/>
  <c r="J218" i="6" s="1"/>
  <c r="G218" i="6"/>
  <c r="I218" i="6" s="1"/>
  <c r="E218" i="6"/>
  <c r="H217" i="6"/>
  <c r="J217" i="6" s="1"/>
  <c r="G217" i="6"/>
  <c r="I217" i="6" s="1"/>
  <c r="E217" i="6"/>
  <c r="H216" i="6"/>
  <c r="J216" i="6" s="1"/>
  <c r="G216" i="6"/>
  <c r="I216" i="6" s="1"/>
  <c r="E216" i="6"/>
  <c r="H215" i="6"/>
  <c r="J215" i="6" s="1"/>
  <c r="G215" i="6"/>
  <c r="I215" i="6" s="1"/>
  <c r="E215" i="6"/>
  <c r="H214" i="6"/>
  <c r="J214" i="6" s="1"/>
  <c r="G214" i="6"/>
  <c r="I214" i="6" s="1"/>
  <c r="E214" i="6"/>
  <c r="H213" i="6"/>
  <c r="J213" i="6" s="1"/>
  <c r="G213" i="6"/>
  <c r="I213" i="6" s="1"/>
  <c r="E213" i="6"/>
  <c r="H212" i="6"/>
  <c r="J212" i="6" s="1"/>
  <c r="G212" i="6"/>
  <c r="I212" i="6" s="1"/>
  <c r="E212" i="6"/>
  <c r="H211" i="6"/>
  <c r="J211" i="6" s="1"/>
  <c r="G211" i="6"/>
  <c r="I211" i="6" s="1"/>
  <c r="E211" i="6"/>
  <c r="H210" i="6"/>
  <c r="J210" i="6" s="1"/>
  <c r="G210" i="6"/>
  <c r="I210" i="6" s="1"/>
  <c r="E210" i="6"/>
  <c r="H209" i="6"/>
  <c r="J209" i="6" s="1"/>
  <c r="G209" i="6"/>
  <c r="I209" i="6" s="1"/>
  <c r="E209" i="6"/>
  <c r="H208" i="6"/>
  <c r="J208" i="6" s="1"/>
  <c r="G208" i="6"/>
  <c r="I208" i="6" s="1"/>
  <c r="E208" i="6"/>
  <c r="G207" i="6"/>
  <c r="I207" i="6" s="1"/>
  <c r="E207" i="6"/>
  <c r="F204" i="6"/>
  <c r="K245" i="6" s="1"/>
  <c r="G203" i="6"/>
  <c r="F203" i="6"/>
  <c r="G202" i="6"/>
  <c r="F202" i="6"/>
  <c r="G201" i="6"/>
  <c r="F201" i="6"/>
  <c r="H193" i="6"/>
  <c r="J193" i="6" s="1"/>
  <c r="G193" i="6"/>
  <c r="I193" i="6" s="1"/>
  <c r="E193" i="6"/>
  <c r="H192" i="6"/>
  <c r="J192" i="6" s="1"/>
  <c r="G192" i="6"/>
  <c r="I192" i="6" s="1"/>
  <c r="E192" i="6"/>
  <c r="H191" i="6"/>
  <c r="J191" i="6" s="1"/>
  <c r="G191" i="6"/>
  <c r="I191" i="6" s="1"/>
  <c r="E191" i="6"/>
  <c r="H190" i="6"/>
  <c r="J190" i="6" s="1"/>
  <c r="G190" i="6"/>
  <c r="I190" i="6" s="1"/>
  <c r="E190" i="6"/>
  <c r="G189" i="6"/>
  <c r="I189" i="6" s="1"/>
  <c r="E189" i="6"/>
  <c r="P187" i="6"/>
  <c r="R187" i="6" s="1"/>
  <c r="H186" i="6"/>
  <c r="J186" i="6" s="1"/>
  <c r="G186" i="6"/>
  <c r="I186" i="6" s="1"/>
  <c r="E186" i="6"/>
  <c r="H185" i="6"/>
  <c r="J185" i="6" s="1"/>
  <c r="G185" i="6"/>
  <c r="I185" i="6" s="1"/>
  <c r="E185" i="6"/>
  <c r="H184" i="6"/>
  <c r="J184" i="6" s="1"/>
  <c r="G184" i="6"/>
  <c r="I184" i="6" s="1"/>
  <c r="E184" i="6"/>
  <c r="H183" i="6"/>
  <c r="J183" i="6" s="1"/>
  <c r="G183" i="6"/>
  <c r="I183" i="6" s="1"/>
  <c r="E183" i="6"/>
  <c r="H182" i="6"/>
  <c r="J182" i="6" s="1"/>
  <c r="G182" i="6"/>
  <c r="K187" i="6" s="1"/>
  <c r="E182" i="6"/>
  <c r="H179" i="6"/>
  <c r="J179" i="6" s="1"/>
  <c r="G179" i="6"/>
  <c r="I179" i="6" s="1"/>
  <c r="E179" i="6"/>
  <c r="H178" i="6"/>
  <c r="J178" i="6" s="1"/>
  <c r="G178" i="6"/>
  <c r="I178" i="6" s="1"/>
  <c r="E178" i="6"/>
  <c r="H177" i="6"/>
  <c r="J177" i="6" s="1"/>
  <c r="G177" i="6"/>
  <c r="I177" i="6" s="1"/>
  <c r="E177" i="6"/>
  <c r="H176" i="6"/>
  <c r="J176" i="6" s="1"/>
  <c r="G176" i="6"/>
  <c r="I176" i="6" s="1"/>
  <c r="E176" i="6"/>
  <c r="H175" i="6"/>
  <c r="J175" i="6" s="1"/>
  <c r="G175" i="6"/>
  <c r="I175" i="6" s="1"/>
  <c r="E175" i="6"/>
  <c r="H174" i="6"/>
  <c r="J174" i="6" s="1"/>
  <c r="G174" i="6"/>
  <c r="I174" i="6" s="1"/>
  <c r="E174" i="6"/>
  <c r="H173" i="6"/>
  <c r="J173" i="6" s="1"/>
  <c r="G173" i="6"/>
  <c r="I173" i="6" s="1"/>
  <c r="E173" i="6"/>
  <c r="H172" i="6"/>
  <c r="J172" i="6" s="1"/>
  <c r="G172" i="6"/>
  <c r="I172" i="6" s="1"/>
  <c r="E172" i="6"/>
  <c r="H171" i="6"/>
  <c r="J171" i="6" s="1"/>
  <c r="G171" i="6"/>
  <c r="I171" i="6" s="1"/>
  <c r="E171" i="6"/>
  <c r="H170" i="6"/>
  <c r="J170" i="6" s="1"/>
  <c r="G170" i="6"/>
  <c r="I170" i="6" s="1"/>
  <c r="E170" i="6"/>
  <c r="H169" i="6"/>
  <c r="J169" i="6" s="1"/>
  <c r="G169" i="6"/>
  <c r="I169" i="6" s="1"/>
  <c r="E169" i="6"/>
  <c r="H168" i="6"/>
  <c r="J168" i="6" s="1"/>
  <c r="G168" i="6"/>
  <c r="I168" i="6" s="1"/>
  <c r="E168" i="6"/>
  <c r="H167" i="6"/>
  <c r="J167" i="6" s="1"/>
  <c r="G167" i="6"/>
  <c r="I167" i="6" s="1"/>
  <c r="E167" i="6"/>
  <c r="H166" i="6"/>
  <c r="J166" i="6" s="1"/>
  <c r="G166" i="6"/>
  <c r="I166" i="6" s="1"/>
  <c r="E166" i="6"/>
  <c r="H165" i="6"/>
  <c r="J165" i="6" s="1"/>
  <c r="G165" i="6"/>
  <c r="I165" i="6" s="1"/>
  <c r="E165" i="6"/>
  <c r="H164" i="6"/>
  <c r="J164" i="6" s="1"/>
  <c r="G164" i="6"/>
  <c r="I164" i="6" s="1"/>
  <c r="E164" i="6"/>
  <c r="H163" i="6"/>
  <c r="J163" i="6" s="1"/>
  <c r="G163" i="6"/>
  <c r="I163" i="6" s="1"/>
  <c r="E163" i="6"/>
  <c r="H162" i="6"/>
  <c r="J162" i="6" s="1"/>
  <c r="G162" i="6"/>
  <c r="I162" i="6" s="1"/>
  <c r="E162" i="6"/>
  <c r="H161" i="6"/>
  <c r="J161" i="6" s="1"/>
  <c r="G161" i="6"/>
  <c r="I161" i="6" s="1"/>
  <c r="E161" i="6"/>
  <c r="H160" i="6"/>
  <c r="J160" i="6" s="1"/>
  <c r="G160" i="6"/>
  <c r="I160" i="6" s="1"/>
  <c r="E160" i="6"/>
  <c r="F157" i="6"/>
  <c r="K198" i="6" s="1"/>
  <c r="G156" i="6"/>
  <c r="F156" i="6"/>
  <c r="G155" i="6"/>
  <c r="F155" i="6"/>
  <c r="G154" i="6"/>
  <c r="F154" i="6"/>
  <c r="H146" i="6"/>
  <c r="J146" i="6" s="1"/>
  <c r="G146" i="6"/>
  <c r="I146" i="6" s="1"/>
  <c r="E146" i="6"/>
  <c r="H145" i="6"/>
  <c r="J145" i="6" s="1"/>
  <c r="G145" i="6"/>
  <c r="I145" i="6" s="1"/>
  <c r="E145" i="6"/>
  <c r="H144" i="6"/>
  <c r="J144" i="6" s="1"/>
  <c r="G144" i="6"/>
  <c r="I144" i="6" s="1"/>
  <c r="E144" i="6"/>
  <c r="H143" i="6"/>
  <c r="J143" i="6" s="1"/>
  <c r="G143" i="6"/>
  <c r="I143" i="6" s="1"/>
  <c r="E143" i="6"/>
  <c r="G142" i="6"/>
  <c r="I142" i="6" s="1"/>
  <c r="E142" i="6"/>
  <c r="P140" i="6"/>
  <c r="R140" i="6" s="1"/>
  <c r="H139" i="6"/>
  <c r="J139" i="6" s="1"/>
  <c r="G139" i="6"/>
  <c r="I139" i="6" s="1"/>
  <c r="E139" i="6"/>
  <c r="H138" i="6"/>
  <c r="J138" i="6" s="1"/>
  <c r="G138" i="6"/>
  <c r="I138" i="6" s="1"/>
  <c r="E138" i="6"/>
  <c r="H137" i="6"/>
  <c r="J137" i="6" s="1"/>
  <c r="G137" i="6"/>
  <c r="I137" i="6" s="1"/>
  <c r="E137" i="6"/>
  <c r="H136" i="6"/>
  <c r="J136" i="6" s="1"/>
  <c r="G136" i="6"/>
  <c r="I136" i="6" s="1"/>
  <c r="E136" i="6"/>
  <c r="H135" i="6"/>
  <c r="J135" i="6" s="1"/>
  <c r="G135" i="6"/>
  <c r="K140" i="6" s="1"/>
  <c r="E135" i="6"/>
  <c r="H132" i="6"/>
  <c r="J132" i="6" s="1"/>
  <c r="G132" i="6"/>
  <c r="I132" i="6" s="1"/>
  <c r="E132" i="6"/>
  <c r="H131" i="6"/>
  <c r="J131" i="6" s="1"/>
  <c r="G131" i="6"/>
  <c r="I131" i="6" s="1"/>
  <c r="E131" i="6"/>
  <c r="H130" i="6"/>
  <c r="J130" i="6" s="1"/>
  <c r="G130" i="6"/>
  <c r="I130" i="6" s="1"/>
  <c r="E130" i="6"/>
  <c r="H129" i="6"/>
  <c r="J129" i="6" s="1"/>
  <c r="G129" i="6"/>
  <c r="I129" i="6" s="1"/>
  <c r="E129" i="6"/>
  <c r="H128" i="6"/>
  <c r="J128" i="6" s="1"/>
  <c r="G128" i="6"/>
  <c r="I128" i="6" s="1"/>
  <c r="E128" i="6"/>
  <c r="H127" i="6"/>
  <c r="J127" i="6" s="1"/>
  <c r="G127" i="6"/>
  <c r="I127" i="6" s="1"/>
  <c r="E127" i="6"/>
  <c r="H126" i="6"/>
  <c r="J126" i="6" s="1"/>
  <c r="G126" i="6"/>
  <c r="I126" i="6" s="1"/>
  <c r="E126" i="6"/>
  <c r="H125" i="6"/>
  <c r="J125" i="6" s="1"/>
  <c r="G125" i="6"/>
  <c r="I125" i="6" s="1"/>
  <c r="E125" i="6"/>
  <c r="H124" i="6"/>
  <c r="J124" i="6" s="1"/>
  <c r="G124" i="6"/>
  <c r="I124" i="6" s="1"/>
  <c r="E124" i="6"/>
  <c r="H123" i="6"/>
  <c r="J123" i="6" s="1"/>
  <c r="G123" i="6"/>
  <c r="I123" i="6" s="1"/>
  <c r="E123" i="6"/>
  <c r="H122" i="6"/>
  <c r="J122" i="6" s="1"/>
  <c r="G122" i="6"/>
  <c r="I122" i="6" s="1"/>
  <c r="E122" i="6"/>
  <c r="H121" i="6"/>
  <c r="J121" i="6" s="1"/>
  <c r="G121" i="6"/>
  <c r="I121" i="6" s="1"/>
  <c r="E121" i="6"/>
  <c r="H120" i="6"/>
  <c r="J120" i="6" s="1"/>
  <c r="G120" i="6"/>
  <c r="I120" i="6" s="1"/>
  <c r="E120" i="6"/>
  <c r="H119" i="6"/>
  <c r="J119" i="6" s="1"/>
  <c r="G119" i="6"/>
  <c r="I119" i="6" s="1"/>
  <c r="E119" i="6"/>
  <c r="H118" i="6"/>
  <c r="J118" i="6" s="1"/>
  <c r="G118" i="6"/>
  <c r="I118" i="6" s="1"/>
  <c r="E118" i="6"/>
  <c r="H117" i="6"/>
  <c r="J117" i="6" s="1"/>
  <c r="G117" i="6"/>
  <c r="I117" i="6" s="1"/>
  <c r="E117" i="6"/>
  <c r="H116" i="6"/>
  <c r="J116" i="6" s="1"/>
  <c r="G116" i="6"/>
  <c r="I116" i="6" s="1"/>
  <c r="E116" i="6"/>
  <c r="H115" i="6"/>
  <c r="J115" i="6" s="1"/>
  <c r="G115" i="6"/>
  <c r="I115" i="6" s="1"/>
  <c r="E115" i="6"/>
  <c r="H114" i="6"/>
  <c r="J114" i="6" s="1"/>
  <c r="G114" i="6"/>
  <c r="I114" i="6" s="1"/>
  <c r="E114" i="6"/>
  <c r="H113" i="6"/>
  <c r="J113" i="6" s="1"/>
  <c r="G113" i="6"/>
  <c r="I113" i="6" s="1"/>
  <c r="E113" i="6"/>
  <c r="F110" i="6"/>
  <c r="K151" i="6" s="1"/>
  <c r="G109" i="6"/>
  <c r="F109" i="6"/>
  <c r="G108" i="6"/>
  <c r="F108" i="6"/>
  <c r="G107" i="6"/>
  <c r="F107" i="6"/>
  <c r="P93" i="6"/>
  <c r="R93" i="6" s="1"/>
  <c r="C104" i="6"/>
  <c r="C151" i="6" s="1"/>
  <c r="C198" i="6" s="1"/>
  <c r="C245" i="6" s="1"/>
  <c r="C292" i="6" s="1"/>
  <c r="C339" i="6" s="1"/>
  <c r="C386" i="6" s="1"/>
  <c r="C433" i="6" s="1"/>
  <c r="C480" i="6" s="1"/>
  <c r="C527" i="6" s="1"/>
  <c r="C574" i="6" s="1"/>
  <c r="C621" i="6" s="1"/>
  <c r="C668" i="6" s="1"/>
  <c r="C715" i="6" s="1"/>
  <c r="C762" i="6" s="1"/>
  <c r="C809" i="6" s="1"/>
  <c r="C856" i="6" s="1"/>
  <c r="C903" i="6" s="1"/>
  <c r="C950" i="6" s="1"/>
  <c r="C997" i="6" s="1"/>
  <c r="C1044" i="6" s="1"/>
  <c r="C1091" i="6" s="1"/>
  <c r="C1138" i="6" s="1"/>
  <c r="C1185" i="6" s="1"/>
  <c r="C1232" i="6" s="1"/>
  <c r="C1279" i="6" s="1"/>
  <c r="C1326" i="6" s="1"/>
  <c r="C1373" i="6" s="1"/>
  <c r="C1420" i="6" s="1"/>
  <c r="C1467" i="6" s="1"/>
  <c r="C1514" i="6" s="1"/>
  <c r="C1561" i="6" s="1"/>
  <c r="C1608" i="6" s="1"/>
  <c r="C1655" i="6" s="1"/>
  <c r="C1702" i="6" s="1"/>
  <c r="C1749" i="6" s="1"/>
  <c r="C1796" i="6" s="1"/>
  <c r="C1843" i="6" s="1"/>
  <c r="C1890" i="6" s="1"/>
  <c r="C1937" i="6" s="1"/>
  <c r="C1984" i="6" s="1"/>
  <c r="C2031" i="6" s="1"/>
  <c r="C2078" i="6" s="1"/>
  <c r="B104" i="6"/>
  <c r="A104" i="6"/>
  <c r="A151" i="6" s="1"/>
  <c r="G656" i="1"/>
  <c r="G655" i="1"/>
  <c r="AB653" i="1"/>
  <c r="AB652" i="1"/>
  <c r="G652" i="1"/>
  <c r="G651" i="1"/>
  <c r="H99" i="6"/>
  <c r="J99" i="6" s="1"/>
  <c r="G99" i="6"/>
  <c r="I99" i="6" s="1"/>
  <c r="E99" i="6"/>
  <c r="H98" i="6"/>
  <c r="J98" i="6" s="1"/>
  <c r="G98" i="6"/>
  <c r="I98" i="6" s="1"/>
  <c r="E98" i="6"/>
  <c r="H97" i="6"/>
  <c r="J97" i="6" s="1"/>
  <c r="G97" i="6"/>
  <c r="I97" i="6" s="1"/>
  <c r="E97" i="6"/>
  <c r="H96" i="6"/>
  <c r="J96" i="6" s="1"/>
  <c r="G96" i="6"/>
  <c r="I96" i="6" s="1"/>
  <c r="E96" i="6"/>
  <c r="G95" i="6"/>
  <c r="I95" i="6" s="1"/>
  <c r="E95" i="6"/>
  <c r="H92" i="6"/>
  <c r="J92" i="6" s="1"/>
  <c r="G92" i="6"/>
  <c r="I92" i="6" s="1"/>
  <c r="E92" i="6"/>
  <c r="H91" i="6"/>
  <c r="J91" i="6" s="1"/>
  <c r="G91" i="6"/>
  <c r="I91" i="6" s="1"/>
  <c r="E91" i="6"/>
  <c r="H90" i="6"/>
  <c r="J90" i="6" s="1"/>
  <c r="G90" i="6"/>
  <c r="I90" i="6" s="1"/>
  <c r="E90" i="6"/>
  <c r="G89" i="6"/>
  <c r="I89" i="6" s="1"/>
  <c r="E89" i="6"/>
  <c r="G88" i="6"/>
  <c r="K93" i="6" s="1"/>
  <c r="E88" i="6"/>
  <c r="H85" i="6"/>
  <c r="J85" i="6" s="1"/>
  <c r="G85" i="6"/>
  <c r="I85" i="6" s="1"/>
  <c r="E85" i="6"/>
  <c r="H84" i="6"/>
  <c r="J84" i="6" s="1"/>
  <c r="G84" i="6"/>
  <c r="I84" i="6" s="1"/>
  <c r="E84" i="6"/>
  <c r="H83" i="6"/>
  <c r="J83" i="6" s="1"/>
  <c r="G83" i="6"/>
  <c r="I83" i="6" s="1"/>
  <c r="E83" i="6"/>
  <c r="H82" i="6"/>
  <c r="J82" i="6" s="1"/>
  <c r="G82" i="6"/>
  <c r="I82" i="6" s="1"/>
  <c r="E82" i="6"/>
  <c r="H81" i="6"/>
  <c r="J81" i="6" s="1"/>
  <c r="G81" i="6"/>
  <c r="I81" i="6" s="1"/>
  <c r="E81" i="6"/>
  <c r="H80" i="6"/>
  <c r="J80" i="6" s="1"/>
  <c r="G80" i="6"/>
  <c r="I80" i="6" s="1"/>
  <c r="E80" i="6"/>
  <c r="H79" i="6"/>
  <c r="J79" i="6" s="1"/>
  <c r="G79" i="6"/>
  <c r="I79" i="6" s="1"/>
  <c r="E79" i="6"/>
  <c r="H78" i="6"/>
  <c r="J78" i="6" s="1"/>
  <c r="G78" i="6"/>
  <c r="I78" i="6" s="1"/>
  <c r="E78" i="6"/>
  <c r="H77" i="6"/>
  <c r="J77" i="6" s="1"/>
  <c r="G77" i="6"/>
  <c r="I77" i="6" s="1"/>
  <c r="E77" i="6"/>
  <c r="H76" i="6"/>
  <c r="J76" i="6" s="1"/>
  <c r="G76" i="6"/>
  <c r="I76" i="6" s="1"/>
  <c r="E76" i="6"/>
  <c r="H75" i="6"/>
  <c r="J75" i="6" s="1"/>
  <c r="G75" i="6"/>
  <c r="I75" i="6" s="1"/>
  <c r="E75" i="6"/>
  <c r="H74" i="6"/>
  <c r="J74" i="6" s="1"/>
  <c r="G74" i="6"/>
  <c r="I74" i="6" s="1"/>
  <c r="E74" i="6"/>
  <c r="H73" i="6"/>
  <c r="J73" i="6" s="1"/>
  <c r="G73" i="6"/>
  <c r="I73" i="6" s="1"/>
  <c r="E73" i="6"/>
  <c r="H72" i="6"/>
  <c r="J72" i="6" s="1"/>
  <c r="G72" i="6"/>
  <c r="I72" i="6" s="1"/>
  <c r="E72" i="6"/>
  <c r="H71" i="6"/>
  <c r="J71" i="6" s="1"/>
  <c r="G71" i="6"/>
  <c r="I71" i="6" s="1"/>
  <c r="E71" i="6"/>
  <c r="H70" i="6"/>
  <c r="J70" i="6" s="1"/>
  <c r="G70" i="6"/>
  <c r="I70" i="6" s="1"/>
  <c r="E70" i="6"/>
  <c r="H69" i="6"/>
  <c r="J69" i="6" s="1"/>
  <c r="G69" i="6"/>
  <c r="I69" i="6" s="1"/>
  <c r="E69" i="6"/>
  <c r="H68" i="6"/>
  <c r="J68" i="6" s="1"/>
  <c r="G68" i="6"/>
  <c r="I68" i="6" s="1"/>
  <c r="E68" i="6"/>
  <c r="G67" i="6"/>
  <c r="I67" i="6" s="1"/>
  <c r="E67" i="6"/>
  <c r="G66" i="6"/>
  <c r="I66" i="6" s="1"/>
  <c r="E66" i="6"/>
  <c r="F63" i="6"/>
  <c r="K104" i="6" s="1"/>
  <c r="G62" i="6"/>
  <c r="F62" i="6"/>
  <c r="G61" i="6"/>
  <c r="F61" i="6"/>
  <c r="G60" i="6"/>
  <c r="F60" i="6"/>
  <c r="B57" i="6"/>
  <c r="G15" i="6"/>
  <c r="G14" i="6"/>
  <c r="F16" i="6"/>
  <c r="K57" i="6" s="1"/>
  <c r="F14" i="6"/>
  <c r="F15" i="6"/>
  <c r="F13" i="6"/>
  <c r="J97" i="16" l="1"/>
  <c r="J85" i="16"/>
  <c r="J91" i="16"/>
  <c r="R1409" i="6"/>
  <c r="R1691" i="6"/>
  <c r="R751" i="6"/>
  <c r="R657" i="6"/>
  <c r="R610" i="6"/>
  <c r="R516" i="6"/>
  <c r="R469" i="6"/>
  <c r="R422" i="6"/>
  <c r="R2067" i="6"/>
  <c r="R1832" i="6"/>
  <c r="R1174" i="6"/>
  <c r="R798" i="6"/>
  <c r="R704" i="6"/>
  <c r="R563" i="6"/>
  <c r="R328" i="6"/>
  <c r="J281" i="6"/>
  <c r="J368" i="6"/>
  <c r="J375" i="6"/>
  <c r="J462" i="6"/>
  <c r="J556" i="6"/>
  <c r="J563" i="6"/>
  <c r="J650" i="6"/>
  <c r="J1597" i="6"/>
  <c r="J1973" i="6"/>
  <c r="J2067" i="6"/>
  <c r="J1127" i="6"/>
  <c r="J1966" i="6"/>
  <c r="J321" i="6"/>
  <c r="J415" i="6"/>
  <c r="J509" i="6"/>
  <c r="J603" i="6"/>
  <c r="J697" i="6"/>
  <c r="J1637" i="6"/>
  <c r="B151" i="6"/>
  <c r="A198" i="6"/>
  <c r="J140" i="6"/>
  <c r="J744" i="6"/>
  <c r="J751" i="6"/>
  <c r="J845" i="6"/>
  <c r="J892" i="6"/>
  <c r="J939" i="6"/>
  <c r="J1026" i="6"/>
  <c r="J1214" i="6"/>
  <c r="J1308" i="6"/>
  <c r="J1362" i="6"/>
  <c r="J1496" i="6"/>
  <c r="J1825" i="6"/>
  <c r="J1872" i="6"/>
  <c r="J1919" i="6"/>
  <c r="J2013" i="6"/>
  <c r="J2060" i="6"/>
  <c r="K2060" i="6"/>
  <c r="I2062" i="6"/>
  <c r="K2076" i="6"/>
  <c r="K2077" i="6"/>
  <c r="J2020" i="6"/>
  <c r="H2022" i="6" s="1"/>
  <c r="J2022" i="6" s="1"/>
  <c r="J2027" i="6" s="1"/>
  <c r="J2029" i="6" s="1"/>
  <c r="J2030" i="6" s="1"/>
  <c r="J2031" i="6" s="1"/>
  <c r="H67" i="16" s="1"/>
  <c r="K2013" i="6"/>
  <c r="I2015" i="6"/>
  <c r="K2029" i="6"/>
  <c r="K2030" i="6"/>
  <c r="I1968" i="6"/>
  <c r="K1982" i="6"/>
  <c r="K1983" i="6"/>
  <c r="K1966" i="6"/>
  <c r="J1926" i="6"/>
  <c r="H1928" i="6" s="1"/>
  <c r="J1928" i="6" s="1"/>
  <c r="J1933" i="6" s="1"/>
  <c r="J1935" i="6" s="1"/>
  <c r="J1936" i="6" s="1"/>
  <c r="J1937" i="6" s="1"/>
  <c r="H65" i="16" s="1"/>
  <c r="K1919" i="6"/>
  <c r="I1921" i="6"/>
  <c r="K1935" i="6"/>
  <c r="K1936" i="6"/>
  <c r="J1879" i="6"/>
  <c r="H1881" i="6" s="1"/>
  <c r="J1881" i="6" s="1"/>
  <c r="J1886" i="6" s="1"/>
  <c r="J1888" i="6" s="1"/>
  <c r="J1889" i="6" s="1"/>
  <c r="J1890" i="6" s="1"/>
  <c r="H64" i="16" s="1"/>
  <c r="K1872" i="6"/>
  <c r="I1874" i="6"/>
  <c r="K1888" i="6"/>
  <c r="K1889" i="6"/>
  <c r="J1832" i="6"/>
  <c r="H1834" i="6" s="1"/>
  <c r="J1834" i="6" s="1"/>
  <c r="J1839" i="6" s="1"/>
  <c r="J1841" i="6" s="1"/>
  <c r="J1842" i="6" s="1"/>
  <c r="J1843" i="6" s="1"/>
  <c r="H63" i="16" s="1"/>
  <c r="K1825" i="6"/>
  <c r="I1827" i="6"/>
  <c r="K1841" i="6"/>
  <c r="K1842" i="6"/>
  <c r="J1785" i="6"/>
  <c r="J1778" i="6"/>
  <c r="K1778" i="6"/>
  <c r="I1780" i="6"/>
  <c r="K1794" i="6"/>
  <c r="K1795" i="6"/>
  <c r="J1731" i="6"/>
  <c r="J1738" i="6"/>
  <c r="K1731" i="6"/>
  <c r="I1733" i="6"/>
  <c r="K1747" i="6"/>
  <c r="K1748" i="6"/>
  <c r="J1684" i="6"/>
  <c r="J1691" i="6"/>
  <c r="K1684" i="6"/>
  <c r="I1686" i="6"/>
  <c r="K1700" i="6"/>
  <c r="K1701" i="6"/>
  <c r="J1644" i="6"/>
  <c r="H1646" i="6" s="1"/>
  <c r="J1646" i="6" s="1"/>
  <c r="J1651" i="6" s="1"/>
  <c r="J1653" i="6" s="1"/>
  <c r="J1654" i="6" s="1"/>
  <c r="J1655" i="6" s="1"/>
  <c r="H57" i="16" s="1"/>
  <c r="K1637" i="6"/>
  <c r="I1639" i="6"/>
  <c r="K1653" i="6"/>
  <c r="K1654" i="6"/>
  <c r="K1590" i="6"/>
  <c r="I1592" i="6"/>
  <c r="K1606" i="6"/>
  <c r="K1607" i="6"/>
  <c r="J1543" i="6"/>
  <c r="J1550" i="6"/>
  <c r="K1543" i="6"/>
  <c r="I1545" i="6"/>
  <c r="K1559" i="6"/>
  <c r="K1560" i="6"/>
  <c r="J1503" i="6"/>
  <c r="K1496" i="6"/>
  <c r="I1498" i="6"/>
  <c r="K1512" i="6"/>
  <c r="K1513" i="6"/>
  <c r="J1456" i="6"/>
  <c r="K1449" i="6"/>
  <c r="I1451" i="6"/>
  <c r="K1465" i="6"/>
  <c r="K1466" i="6"/>
  <c r="J1409" i="6"/>
  <c r="K1402" i="6"/>
  <c r="I1404" i="6"/>
  <c r="K1418" i="6"/>
  <c r="K1419" i="6"/>
  <c r="J1355" i="6"/>
  <c r="K1355" i="6"/>
  <c r="I1357" i="6"/>
  <c r="K1371" i="6"/>
  <c r="K1372" i="6"/>
  <c r="J1315" i="6"/>
  <c r="K1308" i="6"/>
  <c r="I1310" i="6"/>
  <c r="K1324" i="6"/>
  <c r="K1325" i="6"/>
  <c r="J1268" i="6"/>
  <c r="I1263" i="6"/>
  <c r="K1277" i="6"/>
  <c r="K1278" i="6"/>
  <c r="K1261" i="6"/>
  <c r="J1221" i="6"/>
  <c r="K1214" i="6"/>
  <c r="I1216" i="6"/>
  <c r="K1230" i="6"/>
  <c r="K1231" i="6"/>
  <c r="J1174" i="6"/>
  <c r="K1167" i="6"/>
  <c r="I1169" i="6"/>
  <c r="K1183" i="6"/>
  <c r="K1184" i="6"/>
  <c r="J1120" i="6"/>
  <c r="K1120" i="6"/>
  <c r="I1122" i="6"/>
  <c r="K1136" i="6"/>
  <c r="K1137" i="6"/>
  <c r="J1080" i="6"/>
  <c r="J1073" i="6"/>
  <c r="K1073" i="6"/>
  <c r="I1075" i="6"/>
  <c r="K1089" i="6"/>
  <c r="K1090" i="6"/>
  <c r="J1033" i="6"/>
  <c r="K1026" i="6"/>
  <c r="I1028" i="6"/>
  <c r="K1042" i="6"/>
  <c r="K1043" i="6"/>
  <c r="J986" i="6"/>
  <c r="J979" i="6"/>
  <c r="K979" i="6"/>
  <c r="I981" i="6"/>
  <c r="K995" i="6"/>
  <c r="K996" i="6"/>
  <c r="K932" i="6"/>
  <c r="K948" i="6"/>
  <c r="K949" i="6"/>
  <c r="I934" i="6"/>
  <c r="I887" i="6"/>
  <c r="K901" i="6"/>
  <c r="K902" i="6"/>
  <c r="K885" i="6"/>
  <c r="K838" i="6"/>
  <c r="I840" i="6"/>
  <c r="K854" i="6"/>
  <c r="K855" i="6"/>
  <c r="J798" i="6"/>
  <c r="K791" i="6"/>
  <c r="I793" i="6"/>
  <c r="K807" i="6"/>
  <c r="K808" i="6"/>
  <c r="K744" i="6"/>
  <c r="I746" i="6"/>
  <c r="K760" i="6"/>
  <c r="K761" i="6"/>
  <c r="J704" i="6"/>
  <c r="K697" i="6"/>
  <c r="I699" i="6"/>
  <c r="K713" i="6"/>
  <c r="K714" i="6"/>
  <c r="J657" i="6"/>
  <c r="K650" i="6"/>
  <c r="I652" i="6"/>
  <c r="K666" i="6"/>
  <c r="K667" i="6"/>
  <c r="J610" i="6"/>
  <c r="K603" i="6"/>
  <c r="I605" i="6"/>
  <c r="K619" i="6"/>
  <c r="K620" i="6"/>
  <c r="K556" i="6"/>
  <c r="K572" i="6"/>
  <c r="K573" i="6"/>
  <c r="I558" i="6"/>
  <c r="J516" i="6"/>
  <c r="K509" i="6"/>
  <c r="I511" i="6"/>
  <c r="K525" i="6"/>
  <c r="K526" i="6"/>
  <c r="J469" i="6"/>
  <c r="K462" i="6"/>
  <c r="I464" i="6"/>
  <c r="K478" i="6"/>
  <c r="K479" i="6"/>
  <c r="J422" i="6"/>
  <c r="K415" i="6"/>
  <c r="I417" i="6"/>
  <c r="K431" i="6"/>
  <c r="K432" i="6"/>
  <c r="K368" i="6"/>
  <c r="K384" i="6"/>
  <c r="K385" i="6"/>
  <c r="I370" i="6"/>
  <c r="J328" i="6"/>
  <c r="K321" i="6"/>
  <c r="I323" i="6"/>
  <c r="K337" i="6"/>
  <c r="K338" i="6"/>
  <c r="K274" i="6"/>
  <c r="K290" i="6"/>
  <c r="K291" i="6"/>
  <c r="I276" i="6"/>
  <c r="J234" i="6"/>
  <c r="K227" i="6"/>
  <c r="I229" i="6"/>
  <c r="K243" i="6"/>
  <c r="K244" i="6"/>
  <c r="J180" i="6"/>
  <c r="J187" i="6"/>
  <c r="I182" i="6"/>
  <c r="K196" i="6"/>
  <c r="K197" i="6"/>
  <c r="K180" i="6"/>
  <c r="J133" i="6"/>
  <c r="K133" i="6"/>
  <c r="I135" i="6"/>
  <c r="K149" i="6"/>
  <c r="K150" i="6"/>
  <c r="K86" i="6"/>
  <c r="I88" i="6"/>
  <c r="K102" i="6"/>
  <c r="K103" i="6"/>
  <c r="K56" i="6"/>
  <c r="K39" i="6"/>
  <c r="K55" i="6"/>
  <c r="G13" i="6"/>
  <c r="H68" i="2"/>
  <c r="G68" i="16" s="1"/>
  <c r="G50" i="16"/>
  <c r="G51" i="16"/>
  <c r="G52" i="16"/>
  <c r="G53" i="16"/>
  <c r="H55" i="2"/>
  <c r="G55" i="16" s="1"/>
  <c r="H57" i="2"/>
  <c r="G57" i="16" s="1"/>
  <c r="H63" i="2"/>
  <c r="G63" i="16" s="1"/>
  <c r="G64" i="16"/>
  <c r="G65" i="16"/>
  <c r="G66" i="16"/>
  <c r="H67" i="2"/>
  <c r="G67" i="16" s="1"/>
  <c r="G43" i="16"/>
  <c r="G44" i="16"/>
  <c r="G47" i="16"/>
  <c r="G48" i="16"/>
  <c r="G49" i="16"/>
  <c r="G34" i="16"/>
  <c r="G35" i="16"/>
  <c r="G36" i="16"/>
  <c r="G37" i="16"/>
  <c r="G38" i="16"/>
  <c r="G39" i="16"/>
  <c r="G41" i="16"/>
  <c r="G42" i="16"/>
  <c r="G27" i="16"/>
  <c r="G28" i="16"/>
  <c r="G29" i="16"/>
  <c r="G30" i="16"/>
  <c r="G31" i="16"/>
  <c r="G32" i="16"/>
  <c r="H16" i="2"/>
  <c r="H17" i="2"/>
  <c r="H18" i="2"/>
  <c r="H19" i="2"/>
  <c r="H21" i="2"/>
  <c r="G21" i="16" s="1"/>
  <c r="H22" i="2"/>
  <c r="G22" i="16" s="1"/>
  <c r="G24" i="16"/>
  <c r="G25" i="16"/>
  <c r="G26" i="16"/>
  <c r="H15" i="2"/>
  <c r="G15" i="16" s="1"/>
  <c r="H53" i="17" l="1"/>
  <c r="I53" i="17" s="1"/>
  <c r="O57" i="16"/>
  <c r="H59" i="17"/>
  <c r="I59" i="17" s="1"/>
  <c r="O63" i="16"/>
  <c r="H61" i="17"/>
  <c r="I61" i="17" s="1"/>
  <c r="O65" i="16"/>
  <c r="H60" i="17"/>
  <c r="I60" i="17" s="1"/>
  <c r="O64" i="16"/>
  <c r="H63" i="17"/>
  <c r="I63" i="17" s="1"/>
  <c r="O67" i="16"/>
  <c r="H612" i="6"/>
  <c r="J612" i="6" s="1"/>
  <c r="J617" i="6" s="1"/>
  <c r="J619" i="6" s="1"/>
  <c r="J620" i="6" s="1"/>
  <c r="J621" i="6" s="1"/>
  <c r="H29" i="16" s="1"/>
  <c r="H1317" i="6"/>
  <c r="J1317" i="6" s="1"/>
  <c r="J1322" i="6" s="1"/>
  <c r="J1324" i="6" s="1"/>
  <c r="J1325" i="6" s="1"/>
  <c r="J1326" i="6" s="1"/>
  <c r="H48" i="16" s="1"/>
  <c r="H1505" i="6"/>
  <c r="J1505" i="6" s="1"/>
  <c r="J1510" i="6" s="1"/>
  <c r="J1512" i="6" s="1"/>
  <c r="J1513" i="6" s="1"/>
  <c r="J1514" i="6" s="1"/>
  <c r="H52" i="16" s="1"/>
  <c r="H2069" i="6"/>
  <c r="J2069" i="6" s="1"/>
  <c r="J2074" i="6" s="1"/>
  <c r="J2076" i="6" s="1"/>
  <c r="J2077" i="6" s="1"/>
  <c r="J2078" i="6" s="1"/>
  <c r="H68" i="16" s="1"/>
  <c r="H518" i="6"/>
  <c r="J518" i="6" s="1"/>
  <c r="J523" i="6" s="1"/>
  <c r="J525" i="6" s="1"/>
  <c r="J526" i="6" s="1"/>
  <c r="J527" i="6" s="1"/>
  <c r="H27" i="16" s="1"/>
  <c r="H1364" i="6"/>
  <c r="J1364" i="6" s="1"/>
  <c r="J1369" i="6" s="1"/>
  <c r="J1371" i="6" s="1"/>
  <c r="J1372" i="6" s="1"/>
  <c r="J1373" i="6" s="1"/>
  <c r="H49" i="16" s="1"/>
  <c r="I57" i="16"/>
  <c r="N57" i="16" s="1"/>
  <c r="H1223" i="6"/>
  <c r="J1223" i="6" s="1"/>
  <c r="J1228" i="6" s="1"/>
  <c r="J1230" i="6" s="1"/>
  <c r="J1231" i="6" s="1"/>
  <c r="J1232" i="6" s="1"/>
  <c r="H44" i="16" s="1"/>
  <c r="H659" i="6"/>
  <c r="J659" i="6" s="1"/>
  <c r="J664" i="6" s="1"/>
  <c r="J666" i="6" s="1"/>
  <c r="J667" i="6" s="1"/>
  <c r="J668" i="6" s="1"/>
  <c r="H30" i="16" s="1"/>
  <c r="O30" i="16" s="1"/>
  <c r="H1129" i="6"/>
  <c r="J1129" i="6" s="1"/>
  <c r="J1134" i="6" s="1"/>
  <c r="J1136" i="6" s="1"/>
  <c r="J1137" i="6" s="1"/>
  <c r="J1138" i="6" s="1"/>
  <c r="H42" i="16" s="1"/>
  <c r="O42" i="16" s="1"/>
  <c r="I67" i="16"/>
  <c r="N67" i="16" s="1"/>
  <c r="I49" i="16"/>
  <c r="N49" i="16" s="1"/>
  <c r="J56" i="16"/>
  <c r="H142" i="6"/>
  <c r="J142" i="6" s="1"/>
  <c r="J147" i="6" s="1"/>
  <c r="J149" i="6" s="1"/>
  <c r="J150" i="6" s="1"/>
  <c r="J151" i="6" s="1"/>
  <c r="H17" i="16" s="1"/>
  <c r="O17" i="16" s="1"/>
  <c r="H330" i="6"/>
  <c r="J330" i="6" s="1"/>
  <c r="J335" i="6" s="1"/>
  <c r="J337" i="6" s="1"/>
  <c r="J338" i="6" s="1"/>
  <c r="J339" i="6" s="1"/>
  <c r="H22" i="16" s="1"/>
  <c r="O22" i="16" s="1"/>
  <c r="H471" i="6"/>
  <c r="J471" i="6" s="1"/>
  <c r="J476" i="6" s="1"/>
  <c r="J478" i="6" s="1"/>
  <c r="J479" i="6" s="1"/>
  <c r="J480" i="6" s="1"/>
  <c r="H26" i="16" s="1"/>
  <c r="O26" i="16" s="1"/>
  <c r="H706" i="6"/>
  <c r="J706" i="6" s="1"/>
  <c r="J711" i="6" s="1"/>
  <c r="J713" i="6" s="1"/>
  <c r="J714" i="6" s="1"/>
  <c r="J715" i="6" s="1"/>
  <c r="H31" i="16" s="1"/>
  <c r="O31" i="16" s="1"/>
  <c r="I65" i="16"/>
  <c r="N65" i="16" s="1"/>
  <c r="I29" i="16"/>
  <c r="N29" i="16" s="1"/>
  <c r="H1975" i="6"/>
  <c r="J1975" i="6" s="1"/>
  <c r="J1980" i="6" s="1"/>
  <c r="J1982" i="6" s="1"/>
  <c r="J1983" i="6" s="1"/>
  <c r="J1984" i="6" s="1"/>
  <c r="H66" i="16" s="1"/>
  <c r="O66" i="16" s="1"/>
  <c r="H377" i="6"/>
  <c r="J377" i="6" s="1"/>
  <c r="J382" i="6" s="1"/>
  <c r="J384" i="6" s="1"/>
  <c r="J385" i="6" s="1"/>
  <c r="J386" i="6" s="1"/>
  <c r="H24" i="16" s="1"/>
  <c r="O24" i="16" s="1"/>
  <c r="H565" i="6"/>
  <c r="J565" i="6" s="1"/>
  <c r="J570" i="6" s="1"/>
  <c r="J572" i="6" s="1"/>
  <c r="J573" i="6" s="1"/>
  <c r="J574" i="6" s="1"/>
  <c r="H28" i="16" s="1"/>
  <c r="O28" i="16" s="1"/>
  <c r="I64" i="16"/>
  <c r="N64" i="16" s="1"/>
  <c r="I52" i="16"/>
  <c r="N52" i="16" s="1"/>
  <c r="H424" i="6"/>
  <c r="J424" i="6" s="1"/>
  <c r="J429" i="6" s="1"/>
  <c r="H1035" i="6"/>
  <c r="J1035" i="6" s="1"/>
  <c r="J1040" i="6" s="1"/>
  <c r="J1042" i="6" s="1"/>
  <c r="J1043" i="6" s="1"/>
  <c r="J1044" i="6" s="1"/>
  <c r="H39" i="16" s="1"/>
  <c r="O39" i="16" s="1"/>
  <c r="I63" i="16"/>
  <c r="N63" i="16" s="1"/>
  <c r="H1787" i="6"/>
  <c r="J1787" i="6" s="1"/>
  <c r="J1792" i="6" s="1"/>
  <c r="J1794" i="6" s="1"/>
  <c r="J1795" i="6" s="1"/>
  <c r="J1796" i="6" s="1"/>
  <c r="H61" i="16" s="1"/>
  <c r="O61" i="16" s="1"/>
  <c r="H189" i="6"/>
  <c r="J189" i="6" s="1"/>
  <c r="J194" i="6" s="1"/>
  <c r="J196" i="6" s="1"/>
  <c r="J197" i="6" s="1"/>
  <c r="J198" i="6" s="1"/>
  <c r="H18" i="16" s="1"/>
  <c r="O18" i="16" s="1"/>
  <c r="H1552" i="6"/>
  <c r="J1552" i="6" s="1"/>
  <c r="J1557" i="6" s="1"/>
  <c r="J1559" i="6" s="1"/>
  <c r="J1560" i="6" s="1"/>
  <c r="J1561" i="6" s="1"/>
  <c r="H53" i="16" s="1"/>
  <c r="O53" i="16" s="1"/>
  <c r="H1740" i="6"/>
  <c r="J1740" i="6" s="1"/>
  <c r="J1745" i="6" s="1"/>
  <c r="J1747" i="6" s="1"/>
  <c r="J1748" i="6" s="1"/>
  <c r="J1749" i="6" s="1"/>
  <c r="H60" i="16" s="1"/>
  <c r="O60" i="16" s="1"/>
  <c r="H753" i="6"/>
  <c r="J753" i="6" s="1"/>
  <c r="J758" i="6" s="1"/>
  <c r="J760" i="6" s="1"/>
  <c r="J761" i="6" s="1"/>
  <c r="J762" i="6" s="1"/>
  <c r="H32" i="16" s="1"/>
  <c r="O32" i="16" s="1"/>
  <c r="P32" i="16" s="1"/>
  <c r="B198" i="6"/>
  <c r="A245" i="6"/>
  <c r="H1693" i="6"/>
  <c r="J1693" i="6" s="1"/>
  <c r="J1698" i="6" s="1"/>
  <c r="J1700" i="6" s="1"/>
  <c r="J1701" i="6" s="1"/>
  <c r="J1702" i="6" s="1"/>
  <c r="H59" i="16" s="1"/>
  <c r="O59" i="16" s="1"/>
  <c r="H1082" i="6"/>
  <c r="J1082" i="6" s="1"/>
  <c r="J1087" i="6" s="1"/>
  <c r="J1089" i="6" s="1"/>
  <c r="J1090" i="6" s="1"/>
  <c r="J1091" i="6" s="1"/>
  <c r="H41" i="16" s="1"/>
  <c r="O41" i="16" s="1"/>
  <c r="H988" i="6"/>
  <c r="J988" i="6" s="1"/>
  <c r="J993" i="6" s="1"/>
  <c r="J995" i="6" s="1"/>
  <c r="J996" i="6" s="1"/>
  <c r="J997" i="6" s="1"/>
  <c r="H38" i="16" s="1"/>
  <c r="O38" i="16" s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H23" i="17" l="1"/>
  <c r="I23" i="17" s="1"/>
  <c r="O27" i="16"/>
  <c r="H48" i="17"/>
  <c r="I48" i="17" s="1"/>
  <c r="O52" i="16"/>
  <c r="H25" i="17"/>
  <c r="I25" i="17" s="1"/>
  <c r="O29" i="16"/>
  <c r="H40" i="17"/>
  <c r="I40" i="17" s="1"/>
  <c r="O44" i="16"/>
  <c r="H45" i="17"/>
  <c r="I45" i="17" s="1"/>
  <c r="O49" i="16"/>
  <c r="H64" i="17"/>
  <c r="I64" i="17" s="1"/>
  <c r="O68" i="16"/>
  <c r="H44" i="17"/>
  <c r="I44" i="17" s="1"/>
  <c r="O48" i="16"/>
  <c r="I27" i="16"/>
  <c r="N27" i="16" s="1"/>
  <c r="I44" i="16"/>
  <c r="N44" i="16" s="1"/>
  <c r="I68" i="16"/>
  <c r="N68" i="16" s="1"/>
  <c r="I48" i="16"/>
  <c r="N48" i="16" s="1"/>
  <c r="I41" i="16"/>
  <c r="N41" i="16" s="1"/>
  <c r="H37" i="17"/>
  <c r="I37" i="17" s="1"/>
  <c r="I59" i="16"/>
  <c r="N59" i="16" s="1"/>
  <c r="H55" i="17"/>
  <c r="I55" i="17" s="1"/>
  <c r="I53" i="16"/>
  <c r="N53" i="16" s="1"/>
  <c r="H49" i="17"/>
  <c r="I49" i="17" s="1"/>
  <c r="I61" i="16"/>
  <c r="N61" i="16" s="1"/>
  <c r="H57" i="17"/>
  <c r="I57" i="17" s="1"/>
  <c r="I28" i="16"/>
  <c r="N28" i="16" s="1"/>
  <c r="H24" i="17"/>
  <c r="I24" i="17" s="1"/>
  <c r="I24" i="16"/>
  <c r="N24" i="16" s="1"/>
  <c r="H20" i="17"/>
  <c r="I20" i="17" s="1"/>
  <c r="I31" i="16"/>
  <c r="N31" i="16" s="1"/>
  <c r="H27" i="17"/>
  <c r="I27" i="17" s="1"/>
  <c r="I22" i="16"/>
  <c r="N22" i="16" s="1"/>
  <c r="H18" i="17"/>
  <c r="I18" i="17" s="1"/>
  <c r="I30" i="16"/>
  <c r="N30" i="16" s="1"/>
  <c r="H26" i="17"/>
  <c r="I26" i="17" s="1"/>
  <c r="I38" i="16"/>
  <c r="N38" i="16" s="1"/>
  <c r="H34" i="17"/>
  <c r="I34" i="17" s="1"/>
  <c r="I32" i="16"/>
  <c r="N32" i="16" s="1"/>
  <c r="H28" i="17"/>
  <c r="I28" i="17" s="1"/>
  <c r="I60" i="16"/>
  <c r="N60" i="16" s="1"/>
  <c r="H56" i="17"/>
  <c r="I56" i="17" s="1"/>
  <c r="I18" i="16"/>
  <c r="N18" i="16" s="1"/>
  <c r="H14" i="17"/>
  <c r="I14" i="17" s="1"/>
  <c r="I39" i="16"/>
  <c r="N39" i="16" s="1"/>
  <c r="H35" i="17"/>
  <c r="I35" i="17" s="1"/>
  <c r="I66" i="16"/>
  <c r="N66" i="16" s="1"/>
  <c r="H62" i="17"/>
  <c r="I62" i="17" s="1"/>
  <c r="I26" i="16"/>
  <c r="N26" i="16" s="1"/>
  <c r="H22" i="17"/>
  <c r="I22" i="17" s="1"/>
  <c r="I17" i="16"/>
  <c r="N17" i="16" s="1"/>
  <c r="H13" i="17"/>
  <c r="I13" i="17" s="1"/>
  <c r="I42" i="16"/>
  <c r="N42" i="16" s="1"/>
  <c r="H38" i="17"/>
  <c r="I38" i="17" s="1"/>
  <c r="J431" i="6"/>
  <c r="J432" i="6" s="1"/>
  <c r="J433" i="6" s="1"/>
  <c r="H25" i="16" s="1"/>
  <c r="O25" i="16" s="1"/>
  <c r="B245" i="6"/>
  <c r="A292" i="6"/>
  <c r="E267" i="1"/>
  <c r="E271" i="1"/>
  <c r="J58" i="16" l="1"/>
  <c r="J62" i="16"/>
  <c r="I25" i="16"/>
  <c r="N25" i="16" s="1"/>
  <c r="H21" i="17"/>
  <c r="I21" i="17" s="1"/>
  <c r="B292" i="6"/>
  <c r="A339" i="6"/>
  <c r="A100" i="6"/>
  <c r="A93" i="6"/>
  <c r="A86" i="6"/>
  <c r="B86" i="6" s="1"/>
  <c r="B93" i="6"/>
  <c r="J23" i="16" l="1"/>
  <c r="B339" i="6"/>
  <c r="A386" i="6"/>
  <c r="B100" i="6"/>
  <c r="A147" i="6"/>
  <c r="A140" i="6"/>
  <c r="B140" i="6" s="1"/>
  <c r="A133" i="6"/>
  <c r="B133" i="6" s="1"/>
  <c r="AH77" i="17"/>
  <c r="AH78" i="17"/>
  <c r="AH79" i="17"/>
  <c r="AH82" i="17"/>
  <c r="AH83" i="17"/>
  <c r="AH61" i="17"/>
  <c r="AH62" i="17"/>
  <c r="AH63" i="17"/>
  <c r="AH64" i="17"/>
  <c r="AH65" i="17"/>
  <c r="AH66" i="17"/>
  <c r="AH67" i="17"/>
  <c r="AH68" i="17"/>
  <c r="AH69" i="17"/>
  <c r="AH70" i="17"/>
  <c r="AH72" i="17"/>
  <c r="AH73" i="17"/>
  <c r="AH75" i="17"/>
  <c r="AH76" i="17"/>
  <c r="AH44" i="17"/>
  <c r="AH45" i="17"/>
  <c r="AH46" i="17"/>
  <c r="AH47" i="17"/>
  <c r="AH48" i="17"/>
  <c r="AH49" i="17"/>
  <c r="AH50" i="17"/>
  <c r="AH51" i="17"/>
  <c r="AH52" i="17"/>
  <c r="AH53" i="17"/>
  <c r="AH55" i="17"/>
  <c r="AH56" i="17"/>
  <c r="AH57" i="17"/>
  <c r="AH59" i="17"/>
  <c r="AH60" i="17"/>
  <c r="AH26" i="17"/>
  <c r="AH27" i="17"/>
  <c r="AH28" i="17"/>
  <c r="AH29" i="17"/>
  <c r="AH30" i="17"/>
  <c r="AH31" i="17"/>
  <c r="AH32" i="17"/>
  <c r="AH33" i="17"/>
  <c r="AH34" i="17"/>
  <c r="AH35" i="17"/>
  <c r="AH37" i="17"/>
  <c r="AH38" i="17"/>
  <c r="AH39" i="17"/>
  <c r="AH40" i="17"/>
  <c r="AH41" i="17"/>
  <c r="AH42" i="17"/>
  <c r="AH43" i="17"/>
  <c r="AH11" i="17"/>
  <c r="AH12" i="17"/>
  <c r="AH13" i="17"/>
  <c r="AH14" i="17"/>
  <c r="AH15" i="17"/>
  <c r="AH16" i="17"/>
  <c r="AH17" i="17"/>
  <c r="AH18" i="17"/>
  <c r="AH20" i="17"/>
  <c r="AH21" i="17"/>
  <c r="AH22" i="17"/>
  <c r="AH23" i="17"/>
  <c r="AH24" i="17"/>
  <c r="AH25" i="17"/>
  <c r="H50" i="6"/>
  <c r="J50" i="6" s="1"/>
  <c r="H51" i="6"/>
  <c r="J51" i="6" s="1"/>
  <c r="H52" i="6"/>
  <c r="J52" i="6" s="1"/>
  <c r="H49" i="6"/>
  <c r="J49" i="6" s="1"/>
  <c r="H20" i="6"/>
  <c r="J20" i="6" s="1"/>
  <c r="H21" i="6"/>
  <c r="J21" i="6" s="1"/>
  <c r="H22" i="6"/>
  <c r="J22" i="6" s="1"/>
  <c r="H23" i="6"/>
  <c r="J23" i="6" s="1"/>
  <c r="H24" i="6"/>
  <c r="J24" i="6" s="1"/>
  <c r="H25" i="6"/>
  <c r="J25" i="6" s="1"/>
  <c r="H26" i="6"/>
  <c r="J26" i="6" s="1"/>
  <c r="H27" i="6"/>
  <c r="J27" i="6" s="1"/>
  <c r="H28" i="6"/>
  <c r="J28" i="6" s="1"/>
  <c r="H29" i="6"/>
  <c r="J29" i="6" s="1"/>
  <c r="H30" i="6"/>
  <c r="J30" i="6" s="1"/>
  <c r="H31" i="6"/>
  <c r="J31" i="6" s="1"/>
  <c r="H32" i="6"/>
  <c r="J32" i="6" s="1"/>
  <c r="H33" i="6"/>
  <c r="J33" i="6" s="1"/>
  <c r="H34" i="6"/>
  <c r="J34" i="6" s="1"/>
  <c r="H35" i="6"/>
  <c r="J35" i="6" s="1"/>
  <c r="H36" i="6"/>
  <c r="J36" i="6" s="1"/>
  <c r="H37" i="6"/>
  <c r="J37" i="6" s="1"/>
  <c r="H38" i="6"/>
  <c r="J38" i="6" s="1"/>
  <c r="H43" i="6"/>
  <c r="J43" i="6" s="1"/>
  <c r="H44" i="6"/>
  <c r="J44" i="6" s="1"/>
  <c r="H45" i="6"/>
  <c r="J45" i="6" s="1"/>
  <c r="A187" i="6" l="1"/>
  <c r="B187" i="6" s="1"/>
  <c r="A194" i="6"/>
  <c r="A180" i="6"/>
  <c r="B180" i="6" s="1"/>
  <c r="B147" i="6"/>
  <c r="B386" i="6"/>
  <c r="A433" i="6"/>
  <c r="B433" i="6" l="1"/>
  <c r="A480" i="6"/>
  <c r="A234" i="6"/>
  <c r="B234" i="6" s="1"/>
  <c r="A227" i="6"/>
  <c r="B227" i="6" s="1"/>
  <c r="B194" i="6"/>
  <c r="A241" i="6"/>
  <c r="G292" i="1"/>
  <c r="Z98" i="17"/>
  <c r="AA98" i="17"/>
  <c r="AB98" i="17"/>
  <c r="AC98" i="17"/>
  <c r="AD98" i="17"/>
  <c r="AE98" i="17"/>
  <c r="AF98" i="17"/>
  <c r="AG98" i="17"/>
  <c r="Y98" i="17"/>
  <c r="A274" i="6" l="1"/>
  <c r="B274" i="6" s="1"/>
  <c r="B241" i="6"/>
  <c r="A288" i="6"/>
  <c r="A281" i="6"/>
  <c r="B281" i="6" s="1"/>
  <c r="B480" i="6"/>
  <c r="A527" i="6"/>
  <c r="B527" i="6" l="1"/>
  <c r="A574" i="6"/>
  <c r="A328" i="6"/>
  <c r="B328" i="6" s="1"/>
  <c r="A321" i="6"/>
  <c r="B321" i="6" s="1"/>
  <c r="B288" i="6"/>
  <c r="A335" i="6"/>
  <c r="G252" i="1"/>
  <c r="G253" i="1"/>
  <c r="A368" i="6" l="1"/>
  <c r="B368" i="6" s="1"/>
  <c r="B335" i="6"/>
  <c r="A382" i="6"/>
  <c r="A375" i="6"/>
  <c r="B375" i="6" s="1"/>
  <c r="B574" i="6"/>
  <c r="A621" i="6"/>
  <c r="D94" i="10"/>
  <c r="D93" i="10"/>
  <c r="D92" i="10"/>
  <c r="G313" i="1"/>
  <c r="B621" i="6" l="1"/>
  <c r="A668" i="6"/>
  <c r="A429" i="6"/>
  <c r="A422" i="6"/>
  <c r="B422" i="6" s="1"/>
  <c r="A415" i="6"/>
  <c r="B415" i="6" s="1"/>
  <c r="B382" i="6"/>
  <c r="B668" i="6" l="1"/>
  <c r="A715" i="6"/>
  <c r="B429" i="6"/>
  <c r="A469" i="6"/>
  <c r="B469" i="6" s="1"/>
  <c r="A462" i="6"/>
  <c r="B462" i="6" s="1"/>
  <c r="A476" i="6"/>
  <c r="G363" i="1"/>
  <c r="A516" i="6" l="1"/>
  <c r="B516" i="6" s="1"/>
  <c r="A509" i="6"/>
  <c r="B509" i="6" s="1"/>
  <c r="B476" i="6"/>
  <c r="A523" i="6"/>
  <c r="B715" i="6"/>
  <c r="A762" i="6"/>
  <c r="G356" i="1"/>
  <c r="G288" i="1"/>
  <c r="G287" i="1"/>
  <c r="G286" i="1"/>
  <c r="G289" i="1"/>
  <c r="G285" i="1"/>
  <c r="G255" i="1"/>
  <c r="B762" i="6" l="1"/>
  <c r="A809" i="6"/>
  <c r="A556" i="6"/>
  <c r="B556" i="6" s="1"/>
  <c r="B523" i="6"/>
  <c r="A570" i="6"/>
  <c r="A563" i="6"/>
  <c r="B563" i="6" s="1"/>
  <c r="G305" i="1"/>
  <c r="G312" i="1"/>
  <c r="G311" i="1"/>
  <c r="G310" i="1"/>
  <c r="B809" i="6" l="1"/>
  <c r="A856" i="6"/>
  <c r="A610" i="6"/>
  <c r="B610" i="6" s="1"/>
  <c r="A603" i="6"/>
  <c r="B603" i="6" s="1"/>
  <c r="B570" i="6"/>
  <c r="A617" i="6"/>
  <c r="B71" i="10"/>
  <c r="G33" i="10"/>
  <c r="B33" i="10" s="1"/>
  <c r="A657" i="6" l="1"/>
  <c r="B657" i="6" s="1"/>
  <c r="A650" i="6"/>
  <c r="B650" i="6" s="1"/>
  <c r="B617" i="6"/>
  <c r="A664" i="6"/>
  <c r="B856" i="6"/>
  <c r="A903" i="6"/>
  <c r="G67" i="1"/>
  <c r="G66" i="1"/>
  <c r="G143" i="1"/>
  <c r="G132" i="1"/>
  <c r="G131" i="1"/>
  <c r="G130" i="1"/>
  <c r="G129" i="1"/>
  <c r="G128" i="1"/>
  <c r="G127" i="1"/>
  <c r="G126" i="1"/>
  <c r="G125" i="1"/>
  <c r="G123" i="1"/>
  <c r="E137" i="1"/>
  <c r="E138" i="1"/>
  <c r="E139" i="1"/>
  <c r="E140" i="1"/>
  <c r="E141" i="1"/>
  <c r="E142" i="1"/>
  <c r="E143" i="1"/>
  <c r="B903" i="6" l="1"/>
  <c r="A950" i="6"/>
  <c r="A711" i="6"/>
  <c r="A704" i="6"/>
  <c r="B704" i="6" s="1"/>
  <c r="B664" i="6"/>
  <c r="A697" i="6"/>
  <c r="B697" i="6" s="1"/>
  <c r="G134" i="1"/>
  <c r="G135" i="1"/>
  <c r="B950" i="6" l="1"/>
  <c r="A997" i="6"/>
  <c r="A758" i="6"/>
  <c r="A751" i="6"/>
  <c r="B751" i="6" s="1"/>
  <c r="A744" i="6"/>
  <c r="B744" i="6" s="1"/>
  <c r="B711" i="6"/>
  <c r="L160" i="1"/>
  <c r="J160" i="1"/>
  <c r="L159" i="1"/>
  <c r="J159" i="1"/>
  <c r="J158" i="1"/>
  <c r="J156" i="1"/>
  <c r="B997" i="6" l="1"/>
  <c r="A1044" i="6"/>
  <c r="A805" i="6"/>
  <c r="A798" i="6"/>
  <c r="B798" i="6" s="1"/>
  <c r="A791" i="6"/>
  <c r="B791" i="6" s="1"/>
  <c r="B758" i="6"/>
  <c r="N115" i="1"/>
  <c r="N129" i="1"/>
  <c r="G61" i="1"/>
  <c r="G60" i="1"/>
  <c r="G57" i="1"/>
  <c r="G56" i="1"/>
  <c r="B1044" i="6" l="1"/>
  <c r="A1091" i="6"/>
  <c r="A852" i="6"/>
  <c r="A845" i="6"/>
  <c r="B845" i="6" s="1"/>
  <c r="B805" i="6"/>
  <c r="A838" i="6"/>
  <c r="B838" i="6" s="1"/>
  <c r="G408" i="1"/>
  <c r="G407" i="1"/>
  <c r="G406" i="1"/>
  <c r="G405" i="1"/>
  <c r="E405" i="1" s="1"/>
  <c r="G404" i="1"/>
  <c r="E404" i="1" s="1"/>
  <c r="E401" i="1"/>
  <c r="E402" i="1"/>
  <c r="E403" i="1"/>
  <c r="E406" i="1"/>
  <c r="E407" i="1"/>
  <c r="E408" i="1"/>
  <c r="E409" i="1"/>
  <c r="E410" i="1"/>
  <c r="E411" i="1"/>
  <c r="E412" i="1"/>
  <c r="E413" i="1"/>
  <c r="E414" i="1"/>
  <c r="E41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B1091" i="6" l="1"/>
  <c r="A1138" i="6"/>
  <c r="A899" i="6"/>
  <c r="A892" i="6"/>
  <c r="B892" i="6" s="1"/>
  <c r="A885" i="6"/>
  <c r="B885" i="6" s="1"/>
  <c r="B852" i="6"/>
  <c r="G25" i="10"/>
  <c r="B25" i="10" s="1"/>
  <c r="G51" i="10"/>
  <c r="G47" i="10"/>
  <c r="C96" i="10"/>
  <c r="D96" i="10" s="1"/>
  <c r="E6" i="6"/>
  <c r="AH10" i="17"/>
  <c r="E10" i="17"/>
  <c r="B1138" i="6" l="1"/>
  <c r="A1185" i="6"/>
  <c r="A946" i="6"/>
  <c r="A939" i="6"/>
  <c r="B939" i="6" s="1"/>
  <c r="A932" i="6"/>
  <c r="B932" i="6" s="1"/>
  <c r="B899" i="6"/>
  <c r="G52" i="6"/>
  <c r="I52" i="6" s="1"/>
  <c r="E52" i="6"/>
  <c r="G51" i="6"/>
  <c r="I51" i="6" s="1"/>
  <c r="E51" i="6"/>
  <c r="G50" i="6"/>
  <c r="I50" i="6" s="1"/>
  <c r="E50" i="6"/>
  <c r="G49" i="6"/>
  <c r="I49" i="6" s="1"/>
  <c r="E49" i="6"/>
  <c r="G48" i="6"/>
  <c r="I48" i="6" s="1"/>
  <c r="E48" i="6"/>
  <c r="G45" i="6"/>
  <c r="I45" i="6" s="1"/>
  <c r="E45" i="6"/>
  <c r="G44" i="6"/>
  <c r="I44" i="6" s="1"/>
  <c r="E44" i="6"/>
  <c r="G43" i="6"/>
  <c r="I43" i="6" s="1"/>
  <c r="E43" i="6"/>
  <c r="G42" i="6"/>
  <c r="I42" i="6" s="1"/>
  <c r="E42" i="6"/>
  <c r="G41" i="6"/>
  <c r="E41" i="6"/>
  <c r="G20" i="6"/>
  <c r="I20" i="6" s="1"/>
  <c r="G21" i="6"/>
  <c r="I21" i="6" s="1"/>
  <c r="G22" i="6"/>
  <c r="I22" i="6" s="1"/>
  <c r="G23" i="6"/>
  <c r="I23" i="6" s="1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32" i="6"/>
  <c r="I32" i="6" s="1"/>
  <c r="G33" i="6"/>
  <c r="I33" i="6" s="1"/>
  <c r="G34" i="6"/>
  <c r="I34" i="6" s="1"/>
  <c r="G35" i="6"/>
  <c r="I35" i="6" s="1"/>
  <c r="G36" i="6"/>
  <c r="I36" i="6" s="1"/>
  <c r="G37" i="6"/>
  <c r="I37" i="6" s="1"/>
  <c r="G38" i="6"/>
  <c r="I38" i="6" s="1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19" i="6"/>
  <c r="B1185" i="6" l="1"/>
  <c r="A1232" i="6"/>
  <c r="A993" i="6"/>
  <c r="A986" i="6"/>
  <c r="B986" i="6" s="1"/>
  <c r="A979" i="6"/>
  <c r="B979" i="6" s="1"/>
  <c r="B946" i="6"/>
  <c r="I41" i="6"/>
  <c r="K46" i="6"/>
  <c r="B1232" i="6" l="1"/>
  <c r="A1279" i="6"/>
  <c r="A1040" i="6"/>
  <c r="A1033" i="6"/>
  <c r="B1033" i="6" s="1"/>
  <c r="A1026" i="6"/>
  <c r="B1026" i="6" s="1"/>
  <c r="B993" i="6"/>
  <c r="B1279" i="6" l="1"/>
  <c r="A1326" i="6"/>
  <c r="A1087" i="6"/>
  <c r="A1080" i="6"/>
  <c r="B1080" i="6" s="1"/>
  <c r="A1073" i="6"/>
  <c r="B1073" i="6" s="1"/>
  <c r="B1040" i="6"/>
  <c r="B1326" i="6" l="1"/>
  <c r="A1373" i="6"/>
  <c r="A1134" i="6"/>
  <c r="A1127" i="6"/>
  <c r="B1127" i="6" s="1"/>
  <c r="A1120" i="6"/>
  <c r="B1120" i="6" s="1"/>
  <c r="B1087" i="6"/>
  <c r="B1373" i="6" l="1"/>
  <c r="A1420" i="6"/>
  <c r="A1174" i="6"/>
  <c r="B1174" i="6" s="1"/>
  <c r="A1181" i="6"/>
  <c r="A1167" i="6"/>
  <c r="B1167" i="6" s="1"/>
  <c r="B1134" i="6"/>
  <c r="D10" i="17"/>
  <c r="D8" i="17"/>
  <c r="D7" i="17"/>
  <c r="D6" i="17"/>
  <c r="D5" i="17"/>
  <c r="D4" i="17"/>
  <c r="D14" i="16"/>
  <c r="E10" i="16"/>
  <c r="E8" i="16"/>
  <c r="E7" i="16"/>
  <c r="E6" i="16"/>
  <c r="E5" i="16"/>
  <c r="A1228" i="6" l="1"/>
  <c r="A1221" i="6"/>
  <c r="B1221" i="6" s="1"/>
  <c r="A1214" i="6"/>
  <c r="B1214" i="6" s="1"/>
  <c r="B1181" i="6"/>
  <c r="B1420" i="6"/>
  <c r="A1467" i="6"/>
  <c r="E9" i="7"/>
  <c r="E8" i="7"/>
  <c r="E7" i="7"/>
  <c r="E6" i="7"/>
  <c r="E5" i="7"/>
  <c r="B1467" i="6" l="1"/>
  <c r="A1514" i="6"/>
  <c r="A1275" i="6"/>
  <c r="A1268" i="6"/>
  <c r="B1268" i="6" s="1"/>
  <c r="A1261" i="6"/>
  <c r="B1261" i="6" s="1"/>
  <c r="B1228" i="6"/>
  <c r="E317" i="1"/>
  <c r="B37" i="10"/>
  <c r="G37" i="10"/>
  <c r="D97" i="10"/>
  <c r="G23" i="1"/>
  <c r="B1514" i="6" l="1"/>
  <c r="A1561" i="6"/>
  <c r="A1322" i="6"/>
  <c r="A1315" i="6"/>
  <c r="B1315" i="6" s="1"/>
  <c r="A1308" i="6"/>
  <c r="B1308" i="6" s="1"/>
  <c r="B1275" i="6"/>
  <c r="E394" i="1"/>
  <c r="E395" i="1"/>
  <c r="E396" i="1"/>
  <c r="E397" i="1"/>
  <c r="E398" i="1"/>
  <c r="E399" i="1"/>
  <c r="E400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20" i="1"/>
  <c r="H1431" i="6" s="1"/>
  <c r="J1431" i="6" s="1"/>
  <c r="J1449" i="6" s="1"/>
  <c r="H1458" i="6" s="1"/>
  <c r="J1458" i="6" s="1"/>
  <c r="J1463" i="6" s="1"/>
  <c r="J1465" i="6" s="1"/>
  <c r="J1466" i="6" s="1"/>
  <c r="J1467" i="6" s="1"/>
  <c r="H51" i="16" s="1"/>
  <c r="O51" i="16" s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8" i="1"/>
  <c r="E319" i="1"/>
  <c r="H1570" i="6" s="1"/>
  <c r="J1570" i="6" s="1"/>
  <c r="J1590" i="6" s="1"/>
  <c r="H1599" i="6" s="1"/>
  <c r="J1599" i="6" s="1"/>
  <c r="J1604" i="6" s="1"/>
  <c r="J1606" i="6" s="1"/>
  <c r="J1607" i="6" s="1"/>
  <c r="J1608" i="6" s="1"/>
  <c r="H55" i="16" s="1"/>
  <c r="O55" i="16" s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54" i="1"/>
  <c r="E255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44" i="1"/>
  <c r="E145" i="1"/>
  <c r="E146" i="1"/>
  <c r="E147" i="1"/>
  <c r="E148" i="1"/>
  <c r="E149" i="1"/>
  <c r="E150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74" i="1"/>
  <c r="E75" i="1"/>
  <c r="E76" i="1"/>
  <c r="E77" i="1"/>
  <c r="E78" i="1"/>
  <c r="E79" i="1"/>
  <c r="E80" i="1"/>
  <c r="E81" i="1"/>
  <c r="E82" i="1"/>
  <c r="E83" i="1"/>
  <c r="E84" i="1"/>
  <c r="E85" i="1"/>
  <c r="E68" i="1"/>
  <c r="E69" i="1"/>
  <c r="E70" i="1"/>
  <c r="H207" i="6" s="1"/>
  <c r="J207" i="6" s="1"/>
  <c r="J227" i="6" s="1"/>
  <c r="H236" i="6" s="1"/>
  <c r="J236" i="6" s="1"/>
  <c r="J241" i="6" s="1"/>
  <c r="J243" i="6" s="1"/>
  <c r="J244" i="6" s="1"/>
  <c r="J245" i="6" s="1"/>
  <c r="H19" i="16" s="1"/>
  <c r="O19" i="16" s="1"/>
  <c r="E71" i="1"/>
  <c r="E72" i="1"/>
  <c r="E73" i="1"/>
  <c r="E54" i="1"/>
  <c r="E55" i="1"/>
  <c r="E56" i="1"/>
  <c r="E57" i="1"/>
  <c r="E58" i="1"/>
  <c r="E59" i="1"/>
  <c r="E60" i="1"/>
  <c r="E61" i="1"/>
  <c r="E62" i="1"/>
  <c r="E63" i="1"/>
  <c r="H1244" i="6" s="1"/>
  <c r="J1244" i="6" s="1"/>
  <c r="J1261" i="6" s="1"/>
  <c r="H1270" i="6" s="1"/>
  <c r="J1270" i="6" s="1"/>
  <c r="J1275" i="6" s="1"/>
  <c r="J1277" i="6" s="1"/>
  <c r="J1278" i="6" s="1"/>
  <c r="J1279" i="6" s="1"/>
  <c r="H47" i="16" s="1"/>
  <c r="O47" i="16" s="1"/>
  <c r="E64" i="1"/>
  <c r="E65" i="1"/>
  <c r="H254" i="6" s="1"/>
  <c r="J254" i="6" s="1"/>
  <c r="J274" i="6" s="1"/>
  <c r="H283" i="6" s="1"/>
  <c r="J283" i="6" s="1"/>
  <c r="J288" i="6" s="1"/>
  <c r="J290" i="6" s="1"/>
  <c r="J291" i="6" s="1"/>
  <c r="J292" i="6" s="1"/>
  <c r="H21" i="16" s="1"/>
  <c r="O21" i="16" s="1"/>
  <c r="E66" i="1"/>
  <c r="E67" i="1"/>
  <c r="M129" i="1"/>
  <c r="L129" i="1"/>
  <c r="L115" i="1"/>
  <c r="M115" i="1"/>
  <c r="I21" i="16" l="1"/>
  <c r="H17" i="17"/>
  <c r="I17" i="17" s="1"/>
  <c r="H915" i="6"/>
  <c r="J915" i="6" s="1"/>
  <c r="J932" i="6" s="1"/>
  <c r="H941" i="6" s="1"/>
  <c r="J941" i="6" s="1"/>
  <c r="J946" i="6" s="1"/>
  <c r="J948" i="6" s="1"/>
  <c r="J949" i="6" s="1"/>
  <c r="J950" i="6" s="1"/>
  <c r="H37" i="16" s="1"/>
  <c r="O37" i="16" s="1"/>
  <c r="H1150" i="6"/>
  <c r="J1150" i="6" s="1"/>
  <c r="J1167" i="6" s="1"/>
  <c r="H1176" i="6" s="1"/>
  <c r="J1176" i="6" s="1"/>
  <c r="J1181" i="6" s="1"/>
  <c r="J1183" i="6" s="1"/>
  <c r="J1184" i="6" s="1"/>
  <c r="J1185" i="6" s="1"/>
  <c r="H43" i="16" s="1"/>
  <c r="O43" i="16" s="1"/>
  <c r="H2463" i="6"/>
  <c r="J2463" i="6" s="1"/>
  <c r="J2483" i="6" s="1"/>
  <c r="H2492" i="6" s="1"/>
  <c r="J2492" i="6" s="1"/>
  <c r="J2497" i="6" s="1"/>
  <c r="J2499" i="6" s="1"/>
  <c r="J2500" i="6" s="1"/>
  <c r="J2501" i="6" s="1"/>
  <c r="H79" i="16" s="1"/>
  <c r="H2510" i="6"/>
  <c r="J2510" i="6" s="1"/>
  <c r="J2530" i="6" s="1"/>
  <c r="H2539" i="6" s="1"/>
  <c r="J2539" i="6" s="1"/>
  <c r="J2544" i="6" s="1"/>
  <c r="J2546" i="6" s="1"/>
  <c r="J2547" i="6" s="1"/>
  <c r="J2548" i="6" s="1"/>
  <c r="H80" i="16" s="1"/>
  <c r="O80" i="16" s="1"/>
  <c r="I55" i="16"/>
  <c r="N55" i="16" s="1"/>
  <c r="H51" i="17"/>
  <c r="I51" i="17" s="1"/>
  <c r="I79" i="16"/>
  <c r="N79" i="16" s="1"/>
  <c r="I19" i="16"/>
  <c r="N19" i="16" s="1"/>
  <c r="H15" i="17"/>
  <c r="I15" i="17" s="1"/>
  <c r="I47" i="16"/>
  <c r="N47" i="16" s="1"/>
  <c r="H43" i="17"/>
  <c r="I43" i="17" s="1"/>
  <c r="I51" i="16"/>
  <c r="N51" i="16" s="1"/>
  <c r="H47" i="17"/>
  <c r="I47" i="17" s="1"/>
  <c r="H865" i="6"/>
  <c r="J865" i="6" s="1"/>
  <c r="J885" i="6" s="1"/>
  <c r="H894" i="6" s="1"/>
  <c r="J894" i="6" s="1"/>
  <c r="J899" i="6" s="1"/>
  <c r="J901" i="6" s="1"/>
  <c r="J902" i="6" s="1"/>
  <c r="J903" i="6" s="1"/>
  <c r="H36" i="16" s="1"/>
  <c r="O36" i="16" s="1"/>
  <c r="H771" i="6"/>
  <c r="J771" i="6" s="1"/>
  <c r="J791" i="6" s="1"/>
  <c r="H800" i="6" s="1"/>
  <c r="J800" i="6" s="1"/>
  <c r="J805" i="6" s="1"/>
  <c r="J807" i="6" s="1"/>
  <c r="J808" i="6" s="1"/>
  <c r="J809" i="6" s="1"/>
  <c r="H34" i="16" s="1"/>
  <c r="O34" i="16" s="1"/>
  <c r="H818" i="6"/>
  <c r="J818" i="6" s="1"/>
  <c r="J838" i="6" s="1"/>
  <c r="H847" i="6" s="1"/>
  <c r="J847" i="6" s="1"/>
  <c r="J852" i="6" s="1"/>
  <c r="J854" i="6" s="1"/>
  <c r="J855" i="6" s="1"/>
  <c r="J856" i="6" s="1"/>
  <c r="H35" i="16" s="1"/>
  <c r="O35" i="16" s="1"/>
  <c r="B1561" i="6"/>
  <c r="A1608" i="6"/>
  <c r="B1322" i="6"/>
  <c r="A1369" i="6"/>
  <c r="A1362" i="6"/>
  <c r="B1362" i="6" s="1"/>
  <c r="A1355" i="6"/>
  <c r="B1355" i="6" s="1"/>
  <c r="D13" i="7"/>
  <c r="E13" i="7"/>
  <c r="F13" i="7"/>
  <c r="D76" i="7"/>
  <c r="D77" i="7"/>
  <c r="D78" i="7"/>
  <c r="D67" i="7"/>
  <c r="D68" i="7"/>
  <c r="D69" i="7"/>
  <c r="D70" i="7"/>
  <c r="D71" i="7"/>
  <c r="D72" i="7"/>
  <c r="D73" i="7"/>
  <c r="D74" i="7"/>
  <c r="D75" i="7"/>
  <c r="D52" i="7"/>
  <c r="D53" i="7"/>
  <c r="D54" i="7"/>
  <c r="D55" i="7"/>
  <c r="D56" i="7"/>
  <c r="D57" i="7"/>
  <c r="D58" i="7"/>
  <c r="D59" i="7"/>
  <c r="D60" i="7"/>
  <c r="D41" i="7"/>
  <c r="D42" i="7"/>
  <c r="D43" i="7"/>
  <c r="D49" i="7"/>
  <c r="D34" i="7"/>
  <c r="D40" i="7"/>
  <c r="D15" i="7"/>
  <c r="D16" i="7"/>
  <c r="D17" i="7"/>
  <c r="D18" i="7"/>
  <c r="D19" i="7"/>
  <c r="D29" i="7"/>
  <c r="D30" i="7"/>
  <c r="D14" i="7"/>
  <c r="F69" i="7"/>
  <c r="F70" i="7"/>
  <c r="F71" i="7"/>
  <c r="F72" i="7"/>
  <c r="F73" i="7"/>
  <c r="F74" i="7"/>
  <c r="F75" i="7"/>
  <c r="F76" i="7"/>
  <c r="F77" i="7"/>
  <c r="F78" i="7"/>
  <c r="F64" i="7"/>
  <c r="F65" i="7"/>
  <c r="F66" i="7"/>
  <c r="F67" i="7"/>
  <c r="F68" i="7"/>
  <c r="F50" i="7"/>
  <c r="F51" i="7"/>
  <c r="F52" i="7"/>
  <c r="F53" i="7"/>
  <c r="F54" i="7"/>
  <c r="F55" i="7"/>
  <c r="F56" i="7"/>
  <c r="F57" i="7"/>
  <c r="F58" i="7"/>
  <c r="F59" i="7"/>
  <c r="F61" i="7"/>
  <c r="F62" i="7"/>
  <c r="F63" i="7"/>
  <c r="F31" i="7"/>
  <c r="F32" i="7"/>
  <c r="F33" i="7"/>
  <c r="F35" i="7"/>
  <c r="F36" i="7"/>
  <c r="F37" i="7"/>
  <c r="F38" i="7"/>
  <c r="F39" i="7"/>
  <c r="F40" i="7"/>
  <c r="F41" i="7"/>
  <c r="F42" i="7"/>
  <c r="F44" i="7"/>
  <c r="F45" i="7"/>
  <c r="F46" i="7"/>
  <c r="F47" i="7"/>
  <c r="F48" i="7"/>
  <c r="F15" i="7"/>
  <c r="F16" i="7"/>
  <c r="F17" i="7"/>
  <c r="F18" i="7"/>
  <c r="F20" i="7"/>
  <c r="F21" i="7"/>
  <c r="F22" i="7"/>
  <c r="F23" i="7"/>
  <c r="F24" i="7"/>
  <c r="F25" i="7"/>
  <c r="F26" i="7"/>
  <c r="F27" i="7"/>
  <c r="F28" i="7"/>
  <c r="F29" i="7"/>
  <c r="F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14" i="7"/>
  <c r="E9" i="6"/>
  <c r="E8" i="6"/>
  <c r="E4" i="6"/>
  <c r="E5" i="6"/>
  <c r="E3" i="6"/>
  <c r="H75" i="17" l="1"/>
  <c r="I75" i="17" s="1"/>
  <c r="O79" i="16"/>
  <c r="N21" i="16"/>
  <c r="J20" i="16"/>
  <c r="I43" i="16"/>
  <c r="H39" i="17"/>
  <c r="I39" i="17" s="1"/>
  <c r="I37" i="16"/>
  <c r="N37" i="16" s="1"/>
  <c r="H33" i="17"/>
  <c r="I33" i="17" s="1"/>
  <c r="J54" i="16"/>
  <c r="H76" i="17"/>
  <c r="I76" i="17" s="1"/>
  <c r="I80" i="16"/>
  <c r="I34" i="16"/>
  <c r="N34" i="16" s="1"/>
  <c r="H30" i="17"/>
  <c r="I30" i="17" s="1"/>
  <c r="I35" i="16"/>
  <c r="N35" i="16" s="1"/>
  <c r="H31" i="17"/>
  <c r="I31" i="17" s="1"/>
  <c r="I36" i="16"/>
  <c r="N36" i="16" s="1"/>
  <c r="H32" i="17"/>
  <c r="I32" i="17" s="1"/>
  <c r="A1416" i="6"/>
  <c r="A1409" i="6"/>
  <c r="B1409" i="6" s="1"/>
  <c r="A1402" i="6"/>
  <c r="B1402" i="6" s="1"/>
  <c r="B1369" i="6"/>
  <c r="B1608" i="6"/>
  <c r="A1655" i="6"/>
  <c r="G41" i="7"/>
  <c r="G40" i="7"/>
  <c r="D14" i="13"/>
  <c r="D12" i="13"/>
  <c r="D13" i="13"/>
  <c r="D11" i="13"/>
  <c r="D10" i="13"/>
  <c r="D9" i="13"/>
  <c r="D8" i="13"/>
  <c r="D7" i="13"/>
  <c r="D6" i="13"/>
  <c r="J33" i="16" l="1"/>
  <c r="N43" i="16"/>
  <c r="J40" i="16"/>
  <c r="N80" i="16"/>
  <c r="J78" i="16"/>
  <c r="B1655" i="6"/>
  <c r="A1702" i="6"/>
  <c r="A1463" i="6"/>
  <c r="A1456" i="6"/>
  <c r="B1456" i="6" s="1"/>
  <c r="A1449" i="6"/>
  <c r="B1449" i="6" s="1"/>
  <c r="B1416" i="6"/>
  <c r="G63" i="7"/>
  <c r="G66" i="7"/>
  <c r="G68" i="7"/>
  <c r="G70" i="7"/>
  <c r="G47" i="7"/>
  <c r="G50" i="7"/>
  <c r="G52" i="7"/>
  <c r="G54" i="7"/>
  <c r="G56" i="7"/>
  <c r="G58" i="7"/>
  <c r="G71" i="7"/>
  <c r="G73" i="7"/>
  <c r="G75" i="7"/>
  <c r="G77" i="7"/>
  <c r="G65" i="7"/>
  <c r="G67" i="7"/>
  <c r="G69" i="7"/>
  <c r="G46" i="7"/>
  <c r="G48" i="7"/>
  <c r="G53" i="7"/>
  <c r="G55" i="7"/>
  <c r="G57" i="7"/>
  <c r="G59" i="7"/>
  <c r="G72" i="7"/>
  <c r="G74" i="7"/>
  <c r="G76" i="7"/>
  <c r="G78" i="7"/>
  <c r="G33" i="7"/>
  <c r="G32" i="7"/>
  <c r="G38" i="7"/>
  <c r="G20" i="7"/>
  <c r="G24" i="7"/>
  <c r="G13" i="7"/>
  <c r="G26" i="7"/>
  <c r="G21" i="7"/>
  <c r="G23" i="7"/>
  <c r="G25" i="7"/>
  <c r="G17" i="7"/>
  <c r="G16" i="7"/>
  <c r="G14" i="7"/>
  <c r="G27" i="7"/>
  <c r="G29" i="7"/>
  <c r="G22" i="7"/>
  <c r="G15" i="7"/>
  <c r="G28" i="7"/>
  <c r="G39" i="7"/>
  <c r="G51" i="7"/>
  <c r="G36" i="7"/>
  <c r="G45" i="7"/>
  <c r="G31" i="7"/>
  <c r="A1749" i="6" l="1"/>
  <c r="B1702" i="6"/>
  <c r="A1510" i="6"/>
  <c r="A1503" i="6"/>
  <c r="B1503" i="6" s="1"/>
  <c r="A1496" i="6"/>
  <c r="B1496" i="6" s="1"/>
  <c r="B1463" i="6"/>
  <c r="G44" i="7"/>
  <c r="G64" i="7"/>
  <c r="G62" i="7"/>
  <c r="G35" i="7"/>
  <c r="G42" i="7"/>
  <c r="G18" i="7"/>
  <c r="G37" i="7"/>
  <c r="H73" i="13"/>
  <c r="C83" i="13"/>
  <c r="A1550" i="6" l="1"/>
  <c r="B1550" i="6" s="1"/>
  <c r="A1543" i="6"/>
  <c r="B1543" i="6" s="1"/>
  <c r="A1557" i="6"/>
  <c r="B1510" i="6"/>
  <c r="B1749" i="6"/>
  <c r="A1796" i="6"/>
  <c r="G61" i="7"/>
  <c r="C75" i="13"/>
  <c r="I75" i="13" s="1"/>
  <c r="H19" i="13"/>
  <c r="C22" i="13"/>
  <c r="I22" i="13" s="1"/>
  <c r="C23" i="13"/>
  <c r="I23" i="13" s="1"/>
  <c r="C21" i="13"/>
  <c r="I21" i="13" s="1"/>
  <c r="H85" i="13"/>
  <c r="H84" i="13"/>
  <c r="H83" i="13"/>
  <c r="I83" i="13" s="1"/>
  <c r="C73" i="13"/>
  <c r="I73" i="13" s="1"/>
  <c r="B1796" i="6" l="1"/>
  <c r="A1843" i="6"/>
  <c r="A1604" i="6"/>
  <c r="B1557" i="6"/>
  <c r="A1597" i="6"/>
  <c r="B1597" i="6" s="1"/>
  <c r="A1590" i="6"/>
  <c r="B1590" i="6" s="1"/>
  <c r="C89" i="13"/>
  <c r="I89" i="13" s="1"/>
  <c r="C86" i="13"/>
  <c r="I86" i="13" s="1"/>
  <c r="C84" i="13"/>
  <c r="I84" i="13" s="1"/>
  <c r="C101" i="13"/>
  <c r="I101" i="13" s="1"/>
  <c r="C100" i="13"/>
  <c r="I100" i="13" s="1"/>
  <c r="C99" i="13"/>
  <c r="I99" i="13" s="1"/>
  <c r="C98" i="13"/>
  <c r="I98" i="13" s="1"/>
  <c r="C97" i="13"/>
  <c r="I97" i="13" s="1"/>
  <c r="C96" i="13"/>
  <c r="C95" i="13"/>
  <c r="I95" i="13" s="1"/>
  <c r="C94" i="13"/>
  <c r="I94" i="13" s="1"/>
  <c r="C93" i="13"/>
  <c r="I93" i="13" s="1"/>
  <c r="C92" i="13"/>
  <c r="I92" i="13" s="1"/>
  <c r="C91" i="13"/>
  <c r="I91" i="13" s="1"/>
  <c r="C90" i="13"/>
  <c r="I90" i="13" s="1"/>
  <c r="C88" i="13"/>
  <c r="I88" i="13" s="1"/>
  <c r="C87" i="13"/>
  <c r="I87" i="13" s="1"/>
  <c r="C85" i="13"/>
  <c r="I85" i="13" s="1"/>
  <c r="C80" i="13"/>
  <c r="C79" i="13"/>
  <c r="I79" i="13" s="1"/>
  <c r="C78" i="13"/>
  <c r="I78" i="13" s="1"/>
  <c r="C77" i="13"/>
  <c r="I77" i="13" s="1"/>
  <c r="C76" i="13"/>
  <c r="C74" i="13"/>
  <c r="I74" i="13" s="1"/>
  <c r="C72" i="13"/>
  <c r="I72" i="13" s="1"/>
  <c r="C71" i="13"/>
  <c r="I71" i="13" s="1"/>
  <c r="C70" i="13"/>
  <c r="C69" i="13"/>
  <c r="I69" i="13" s="1"/>
  <c r="C68" i="13"/>
  <c r="I68" i="13" s="1"/>
  <c r="C67" i="13"/>
  <c r="I67" i="13" s="1"/>
  <c r="C66" i="13"/>
  <c r="I66" i="13" s="1"/>
  <c r="C65" i="13"/>
  <c r="I65" i="13" s="1"/>
  <c r="C62" i="13"/>
  <c r="I62" i="13" s="1"/>
  <c r="I61" i="13"/>
  <c r="C60" i="13"/>
  <c r="C59" i="13"/>
  <c r="I59" i="13" s="1"/>
  <c r="C58" i="13"/>
  <c r="I58" i="13" s="1"/>
  <c r="C57" i="13"/>
  <c r="I57" i="13" s="1"/>
  <c r="C56" i="13"/>
  <c r="C55" i="13"/>
  <c r="I55" i="13" s="1"/>
  <c r="C54" i="13"/>
  <c r="I54" i="13" s="1"/>
  <c r="C53" i="13"/>
  <c r="I53" i="13" s="1"/>
  <c r="C52" i="13"/>
  <c r="I52" i="13" s="1"/>
  <c r="C51" i="13"/>
  <c r="I51" i="13" s="1"/>
  <c r="C50" i="13"/>
  <c r="I50" i="13" s="1"/>
  <c r="C49" i="13"/>
  <c r="I49" i="13" s="1"/>
  <c r="C47" i="13"/>
  <c r="I47" i="13" s="1"/>
  <c r="C46" i="13"/>
  <c r="I46" i="13" s="1"/>
  <c r="C45" i="13"/>
  <c r="I45" i="13" s="1"/>
  <c r="C48" i="13"/>
  <c r="I48" i="13" s="1"/>
  <c r="I56" i="13"/>
  <c r="C29" i="13"/>
  <c r="I29" i="13" s="1"/>
  <c r="C28" i="13"/>
  <c r="I28" i="13" s="1"/>
  <c r="C42" i="13"/>
  <c r="I42" i="13" s="1"/>
  <c r="C41" i="13"/>
  <c r="I41" i="13" s="1"/>
  <c r="C40" i="13"/>
  <c r="I40" i="13" s="1"/>
  <c r="C39" i="13"/>
  <c r="I39" i="13" s="1"/>
  <c r="C38" i="13"/>
  <c r="I38" i="13" s="1"/>
  <c r="C37" i="13"/>
  <c r="I37" i="13" s="1"/>
  <c r="C36" i="13"/>
  <c r="I36" i="13" s="1"/>
  <c r="C35" i="13"/>
  <c r="I35" i="13" s="1"/>
  <c r="C34" i="13"/>
  <c r="I34" i="13" s="1"/>
  <c r="C33" i="13"/>
  <c r="I33" i="13" s="1"/>
  <c r="C32" i="13"/>
  <c r="I32" i="13" s="1"/>
  <c r="C31" i="13"/>
  <c r="I31" i="13" s="1"/>
  <c r="C30" i="13"/>
  <c r="I30" i="13" s="1"/>
  <c r="C24" i="13"/>
  <c r="C20" i="13"/>
  <c r="I20" i="13" s="1"/>
  <c r="C19" i="13"/>
  <c r="I19" i="13" s="1"/>
  <c r="C18" i="13"/>
  <c r="I18" i="13" s="1"/>
  <c r="C17" i="13"/>
  <c r="I17" i="13" s="1"/>
  <c r="C16" i="13"/>
  <c r="I16" i="13" s="1"/>
  <c r="C15" i="13"/>
  <c r="I15" i="13" s="1"/>
  <c r="C14" i="13"/>
  <c r="I14" i="13" s="1"/>
  <c r="C13" i="13"/>
  <c r="I13" i="13" s="1"/>
  <c r="C12" i="13"/>
  <c r="I12" i="13" s="1"/>
  <c r="C11" i="13"/>
  <c r="I11" i="13" s="1"/>
  <c r="C10" i="13"/>
  <c r="I10" i="13" s="1"/>
  <c r="C8" i="13"/>
  <c r="I8" i="13" s="1"/>
  <c r="C7" i="13"/>
  <c r="I7" i="13" s="1"/>
  <c r="C6" i="13"/>
  <c r="I6" i="13" s="1"/>
  <c r="C9" i="13"/>
  <c r="I9" i="13" s="1"/>
  <c r="I80" i="13"/>
  <c r="I76" i="13"/>
  <c r="I70" i="13"/>
  <c r="I60" i="13"/>
  <c r="B1843" i="6" l="1"/>
  <c r="A1890" i="6"/>
  <c r="B1604" i="6"/>
  <c r="A1651" i="6"/>
  <c r="A1644" i="6"/>
  <c r="B1644" i="6" s="1"/>
  <c r="A1637" i="6"/>
  <c r="B1637" i="6" s="1"/>
  <c r="J81" i="13"/>
  <c r="J63" i="13"/>
  <c r="I96" i="13"/>
  <c r="J102" i="13" s="1"/>
  <c r="C27" i="13"/>
  <c r="I27" i="13" s="1"/>
  <c r="J43" i="13" s="1"/>
  <c r="I24" i="13"/>
  <c r="J25" i="13" s="1"/>
  <c r="B1651" i="6" l="1"/>
  <c r="A1684" i="6"/>
  <c r="B1684" i="6" s="1"/>
  <c r="A1698" i="6"/>
  <c r="A1691" i="6"/>
  <c r="B1691" i="6" s="1"/>
  <c r="B1890" i="6"/>
  <c r="A1937" i="6"/>
  <c r="G676" i="1"/>
  <c r="B1937" i="6" l="1"/>
  <c r="A1984" i="6"/>
  <c r="B1698" i="6"/>
  <c r="A1731" i="6"/>
  <c r="B1731" i="6" s="1"/>
  <c r="A1745" i="6"/>
  <c r="A1738" i="6"/>
  <c r="B1738" i="6" s="1"/>
  <c r="G26" i="1"/>
  <c r="B1984" i="6" l="1"/>
  <c r="A2031" i="6"/>
  <c r="B1745" i="6"/>
  <c r="A1792" i="6"/>
  <c r="A1785" i="6"/>
  <c r="B1785" i="6" s="1"/>
  <c r="A1778" i="6"/>
  <c r="B1778" i="6" s="1"/>
  <c r="G27" i="1"/>
  <c r="G24" i="1"/>
  <c r="G25" i="1"/>
  <c r="G327" i="1"/>
  <c r="A1839" i="6" l="1"/>
  <c r="A1832" i="6"/>
  <c r="B1832" i="6" s="1"/>
  <c r="A1825" i="6"/>
  <c r="B1825" i="6" s="1"/>
  <c r="B1792" i="6"/>
  <c r="B2031" i="6"/>
  <c r="A2078" i="6"/>
  <c r="B2078" i="6" s="1"/>
  <c r="G667" i="1"/>
  <c r="A1886" i="6" l="1"/>
  <c r="A1879" i="6"/>
  <c r="B1879" i="6" s="1"/>
  <c r="A1872" i="6"/>
  <c r="B1872" i="6" s="1"/>
  <c r="B1839" i="6"/>
  <c r="I81" i="7"/>
  <c r="C49" i="10"/>
  <c r="D87" i="10"/>
  <c r="D82" i="10"/>
  <c r="D83" i="10"/>
  <c r="B51" i="10"/>
  <c r="B47" i="10"/>
  <c r="C38" i="10"/>
  <c r="C39" i="10"/>
  <c r="D39" i="10" s="1"/>
  <c r="C40" i="10"/>
  <c r="D40" i="10" s="1"/>
  <c r="C7" i="10"/>
  <c r="D8" i="10"/>
  <c r="C9" i="10"/>
  <c r="D9" i="10" s="1"/>
  <c r="C10" i="10"/>
  <c r="D10" i="10" s="1"/>
  <c r="D11" i="10"/>
  <c r="D12" i="10"/>
  <c r="C13" i="10"/>
  <c r="D13" i="10" s="1"/>
  <c r="C14" i="10"/>
  <c r="D14" i="10" s="1"/>
  <c r="C15" i="10"/>
  <c r="D15" i="10" s="1"/>
  <c r="C16" i="10"/>
  <c r="D16" i="10" s="1"/>
  <c r="C17" i="10"/>
  <c r="D17" i="10" s="1"/>
  <c r="C18" i="10"/>
  <c r="D18" i="10" s="1"/>
  <c r="C19" i="10"/>
  <c r="D19" i="10" s="1"/>
  <c r="C20" i="10"/>
  <c r="D20" i="10" s="1"/>
  <c r="C21" i="10"/>
  <c r="D21" i="10" s="1"/>
  <c r="C22" i="10"/>
  <c r="D22" i="10" s="1"/>
  <c r="C23" i="10"/>
  <c r="D23" i="10" s="1"/>
  <c r="C24" i="10"/>
  <c r="D24" i="10" s="1"/>
  <c r="C25" i="10"/>
  <c r="C26" i="10"/>
  <c r="D26" i="10" s="1"/>
  <c r="C27" i="10"/>
  <c r="D27" i="10" s="1"/>
  <c r="C28" i="10"/>
  <c r="D28" i="10" s="1"/>
  <c r="C29" i="10"/>
  <c r="C30" i="10"/>
  <c r="D30" i="10" s="1"/>
  <c r="C31" i="10"/>
  <c r="D31" i="10" s="1"/>
  <c r="C32" i="10"/>
  <c r="D32" i="10" s="1"/>
  <c r="C33" i="10"/>
  <c r="C34" i="10"/>
  <c r="D34" i="10" s="1"/>
  <c r="C35" i="10"/>
  <c r="D35" i="10" s="1"/>
  <c r="C36" i="10"/>
  <c r="D36" i="10" s="1"/>
  <c r="C37" i="10"/>
  <c r="D38" i="10"/>
  <c r="D41" i="10"/>
  <c r="D42" i="10"/>
  <c r="C43" i="10"/>
  <c r="D43" i="10" s="1"/>
  <c r="C44" i="10"/>
  <c r="C45" i="10"/>
  <c r="C46" i="10"/>
  <c r="D46" i="10" s="1"/>
  <c r="C47" i="10"/>
  <c r="B48" i="10"/>
  <c r="C48" i="10"/>
  <c r="C50" i="10"/>
  <c r="D50" i="10" s="1"/>
  <c r="C51" i="10"/>
  <c r="B52" i="10"/>
  <c r="C52" i="10"/>
  <c r="B53" i="10"/>
  <c r="C53" i="10"/>
  <c r="D54" i="10"/>
  <c r="C55" i="10"/>
  <c r="D55" i="10" s="1"/>
  <c r="C56" i="10"/>
  <c r="D56" i="10" s="1"/>
  <c r="C57" i="10"/>
  <c r="C58" i="10"/>
  <c r="D58" i="10" s="1"/>
  <c r="C59" i="10"/>
  <c r="D59" i="10" s="1"/>
  <c r="D60" i="10"/>
  <c r="D61" i="10"/>
  <c r="D62" i="10"/>
  <c r="D63" i="10"/>
  <c r="D64" i="10"/>
  <c r="D65" i="10"/>
  <c r="D66" i="10"/>
  <c r="D67" i="10"/>
  <c r="D68" i="10"/>
  <c r="D69" i="10"/>
  <c r="B70" i="10"/>
  <c r="C70" i="10"/>
  <c r="C71" i="10"/>
  <c r="D72" i="10"/>
  <c r="C73" i="10"/>
  <c r="C74" i="10"/>
  <c r="B74" i="10"/>
  <c r="C75" i="10"/>
  <c r="D75" i="10" s="1"/>
  <c r="D76" i="10"/>
  <c r="D77" i="10"/>
  <c r="D81" i="10"/>
  <c r="P84" i="10"/>
  <c r="Q80" i="10" s="1"/>
  <c r="D85" i="10"/>
  <c r="D86" i="10"/>
  <c r="D88" i="10"/>
  <c r="D89" i="10"/>
  <c r="D90" i="10"/>
  <c r="D91" i="10"/>
  <c r="D99" i="10"/>
  <c r="D7" i="10" l="1"/>
  <c r="I7" i="10"/>
  <c r="A1926" i="6"/>
  <c r="B1926" i="6" s="1"/>
  <c r="A1919" i="6"/>
  <c r="B1919" i="6" s="1"/>
  <c r="B1886" i="6"/>
  <c r="A1933" i="6"/>
  <c r="D49" i="10"/>
  <c r="D48" i="10"/>
  <c r="D70" i="10"/>
  <c r="D45" i="10"/>
  <c r="D44" i="10"/>
  <c r="D73" i="10"/>
  <c r="D53" i="10"/>
  <c r="D51" i="10"/>
  <c r="D47" i="10"/>
  <c r="D74" i="10"/>
  <c r="D71" i="10"/>
  <c r="D57" i="10"/>
  <c r="D52" i="10"/>
  <c r="D37" i="10"/>
  <c r="D33" i="10"/>
  <c r="D29" i="10"/>
  <c r="D25" i="10"/>
  <c r="Q81" i="10"/>
  <c r="Q79" i="10"/>
  <c r="Q82" i="10"/>
  <c r="B39" i="6"/>
  <c r="B46" i="6"/>
  <c r="B53" i="6"/>
  <c r="A1966" i="6" l="1"/>
  <c r="B1966" i="6" s="1"/>
  <c r="B1933" i="6"/>
  <c r="A1980" i="6"/>
  <c r="A1973" i="6"/>
  <c r="B1973" i="6" s="1"/>
  <c r="Q84" i="10"/>
  <c r="G161" i="1"/>
  <c r="A2020" i="6" l="1"/>
  <c r="B2020" i="6" s="1"/>
  <c r="A2013" i="6"/>
  <c r="B2013" i="6" s="1"/>
  <c r="B1980" i="6"/>
  <c r="A2027" i="6"/>
  <c r="P46" i="6"/>
  <c r="R46" i="6" l="1"/>
  <c r="A2067" i="6"/>
  <c r="B2067" i="6" s="1"/>
  <c r="A2060" i="6"/>
  <c r="B2060" i="6" s="1"/>
  <c r="B2027" i="6"/>
  <c r="A2074" i="6"/>
  <c r="B2074" i="6" s="1"/>
  <c r="E664" i="1"/>
  <c r="E665" i="1"/>
  <c r="E666" i="1"/>
  <c r="E667" i="1"/>
  <c r="E668" i="1"/>
  <c r="E650" i="1"/>
  <c r="E669" i="1"/>
  <c r="E670" i="1"/>
  <c r="E671" i="1"/>
  <c r="E672" i="1"/>
  <c r="E673" i="1"/>
  <c r="E674" i="1"/>
  <c r="E675" i="1"/>
  <c r="E676" i="1"/>
  <c r="E677" i="1"/>
  <c r="E678" i="1"/>
  <c r="E655" i="1"/>
  <c r="E656" i="1"/>
  <c r="E657" i="1"/>
  <c r="E658" i="1"/>
  <c r="E659" i="1"/>
  <c r="E53" i="1" l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H1384" i="6" s="1"/>
  <c r="J1384" i="6" s="1"/>
  <c r="E33" i="1"/>
  <c r="H1383" i="6" s="1"/>
  <c r="J1383" i="6" s="1"/>
  <c r="E22" i="1"/>
  <c r="E23" i="1"/>
  <c r="E24" i="1"/>
  <c r="E25" i="1"/>
  <c r="E26" i="1"/>
  <c r="E27" i="1"/>
  <c r="E28" i="1"/>
  <c r="E29" i="1"/>
  <c r="H66" i="6" s="1"/>
  <c r="J66" i="6" s="1"/>
  <c r="E30" i="1"/>
  <c r="E31" i="1"/>
  <c r="E32" i="1"/>
  <c r="E9" i="1"/>
  <c r="E10" i="1"/>
  <c r="E12" i="1"/>
  <c r="E13" i="1"/>
  <c r="E14" i="1"/>
  <c r="E15" i="1"/>
  <c r="E16" i="1"/>
  <c r="E17" i="1"/>
  <c r="E18" i="1"/>
  <c r="E19" i="1"/>
  <c r="E20" i="1"/>
  <c r="E21" i="1"/>
  <c r="E6" i="1"/>
  <c r="H67" i="6" l="1"/>
  <c r="J67" i="6" s="1"/>
  <c r="J86" i="6" s="1"/>
  <c r="H19" i="6"/>
  <c r="J19" i="6" s="1"/>
  <c r="J39" i="6" s="1"/>
  <c r="J1402" i="6"/>
  <c r="H1411" i="6" s="1"/>
  <c r="J1411" i="6" s="1"/>
  <c r="J1416" i="6" s="1"/>
  <c r="J1418" i="6" s="1"/>
  <c r="J1419" i="6" s="1"/>
  <c r="J1420" i="6" s="1"/>
  <c r="H50" i="16" s="1"/>
  <c r="O50" i="16" s="1"/>
  <c r="S666" i="1"/>
  <c r="T666" i="1" s="1"/>
  <c r="R653" i="1"/>
  <c r="R652" i="1"/>
  <c r="AA653" i="1"/>
  <c r="AA652" i="1"/>
  <c r="V653" i="1"/>
  <c r="O653" i="1"/>
  <c r="P653" i="1"/>
  <c r="Q653" i="1" s="1"/>
  <c r="X653" i="1" s="1"/>
  <c r="V652" i="1"/>
  <c r="P652" i="1"/>
  <c r="O652" i="1"/>
  <c r="G19" i="6"/>
  <c r="I19" i="6" s="1"/>
  <c r="T653" i="1"/>
  <c r="I50" i="16" l="1"/>
  <c r="N50" i="16" s="1"/>
  <c r="H46" i="17"/>
  <c r="I46" i="17" s="1"/>
  <c r="J46" i="16"/>
  <c r="U652" i="1"/>
  <c r="Z653" i="1"/>
  <c r="W653" i="1"/>
  <c r="Q652" i="1"/>
  <c r="X652" i="1" s="1"/>
  <c r="S653" i="1"/>
  <c r="Y653" i="1"/>
  <c r="U653" i="1"/>
  <c r="W652" i="1"/>
  <c r="T652" i="1"/>
  <c r="Y652" i="1"/>
  <c r="Z652" i="1"/>
  <c r="S652" i="1"/>
  <c r="E651" i="1" l="1"/>
  <c r="E652" i="1"/>
  <c r="H89" i="6" l="1"/>
  <c r="J89" i="6" s="1"/>
  <c r="H42" i="6"/>
  <c r="J42" i="6" s="1"/>
  <c r="H88" i="6"/>
  <c r="J88" i="6" s="1"/>
  <c r="H41" i="6"/>
  <c r="J41" i="6" s="1"/>
  <c r="E654" i="1"/>
  <c r="AC653" i="1"/>
  <c r="E653" i="1"/>
  <c r="AC652" i="1"/>
  <c r="J93" i="6" l="1"/>
  <c r="H95" i="6" s="1"/>
  <c r="J95" i="6" s="1"/>
  <c r="J100" i="6" s="1"/>
  <c r="J102" i="6" s="1"/>
  <c r="J103" i="6" s="1"/>
  <c r="J104" i="6" s="1"/>
  <c r="H16" i="16" s="1"/>
  <c r="O16" i="16" s="1"/>
  <c r="J46" i="6"/>
  <c r="I16" i="16" l="1"/>
  <c r="N16" i="16" s="1"/>
  <c r="H12" i="17"/>
  <c r="I12" i="17" s="1"/>
  <c r="H48" i="6"/>
  <c r="J48" i="6" s="1"/>
  <c r="H18" i="7"/>
  <c r="I18" i="7" s="1"/>
  <c r="J18" i="7" s="1"/>
  <c r="H17" i="7"/>
  <c r="I17" i="7" s="1"/>
  <c r="J17" i="7" s="1"/>
  <c r="H22" i="7"/>
  <c r="I22" i="7" s="1"/>
  <c r="H16" i="7"/>
  <c r="I16" i="7" s="1"/>
  <c r="J16" i="7" s="1"/>
  <c r="H21" i="7"/>
  <c r="I21" i="7" s="1"/>
  <c r="H20" i="7"/>
  <c r="I20" i="7" s="1"/>
  <c r="H23" i="7"/>
  <c r="I23" i="7" s="1"/>
  <c r="J53" i="6" l="1"/>
  <c r="J55" i="6" s="1"/>
  <c r="J56" i="6" l="1"/>
  <c r="J57" i="6" s="1"/>
  <c r="H15" i="16" s="1"/>
  <c r="O15" i="16" s="1"/>
  <c r="H15" i="7"/>
  <c r="I15" i="7" s="1"/>
  <c r="J15" i="7" s="1"/>
  <c r="H14" i="7"/>
  <c r="I14" i="7" s="1"/>
  <c r="J14" i="7" s="1"/>
  <c r="H13" i="7"/>
  <c r="I13" i="7" s="1"/>
  <c r="J13" i="7" s="1"/>
  <c r="H24" i="7"/>
  <c r="I24" i="7" s="1"/>
  <c r="I15" i="16" l="1"/>
  <c r="N15" i="16" s="1"/>
  <c r="N101" i="16" s="1"/>
  <c r="H11" i="17"/>
  <c r="I11" i="17" s="1"/>
  <c r="J14" i="16"/>
  <c r="J101" i="16" s="1"/>
  <c r="H25" i="7"/>
  <c r="I25" i="7" s="1"/>
  <c r="I101" i="16" l="1"/>
  <c r="L97" i="16" s="1"/>
  <c r="J109" i="16"/>
  <c r="H26" i="7"/>
  <c r="I26" i="7" s="1"/>
  <c r="B2" i="10" l="1"/>
  <c r="B79" i="10" s="1"/>
  <c r="K15" i="16"/>
  <c r="K42" i="16"/>
  <c r="K37" i="16"/>
  <c r="K27" i="16"/>
  <c r="K65" i="16"/>
  <c r="K69" i="16"/>
  <c r="L14" i="16"/>
  <c r="K30" i="16"/>
  <c r="K39" i="16"/>
  <c r="K26" i="16"/>
  <c r="K29" i="16"/>
  <c r="K32" i="16"/>
  <c r="K80" i="16"/>
  <c r="K35" i="16"/>
  <c r="K36" i="16"/>
  <c r="K25" i="16"/>
  <c r="K34" i="16"/>
  <c r="K57" i="16"/>
  <c r="K99" i="16"/>
  <c r="L46" i="16"/>
  <c r="K43" i="16"/>
  <c r="K44" i="16"/>
  <c r="K53" i="16"/>
  <c r="K51" i="16"/>
  <c r="K60" i="16"/>
  <c r="K48" i="16"/>
  <c r="K86" i="16"/>
  <c r="K98" i="16"/>
  <c r="K73" i="16"/>
  <c r="L23" i="16"/>
  <c r="L85" i="16"/>
  <c r="K55" i="16"/>
  <c r="K88" i="16"/>
  <c r="K93" i="16"/>
  <c r="K83" i="16"/>
  <c r="K74" i="16"/>
  <c r="K82" i="16"/>
  <c r="L62" i="16"/>
  <c r="L40" i="16"/>
  <c r="L56" i="16"/>
  <c r="L75" i="16"/>
  <c r="K16" i="16"/>
  <c r="K66" i="16"/>
  <c r="K50" i="16"/>
  <c r="K61" i="16"/>
  <c r="K17" i="16"/>
  <c r="K28" i="16"/>
  <c r="K19" i="16"/>
  <c r="K18" i="16"/>
  <c r="K41" i="16"/>
  <c r="K22" i="16"/>
  <c r="K21" i="16"/>
  <c r="K64" i="16"/>
  <c r="K63" i="16"/>
  <c r="K38" i="16"/>
  <c r="K24" i="16"/>
  <c r="K52" i="16"/>
  <c r="K47" i="16"/>
  <c r="K59" i="16"/>
  <c r="K31" i="16"/>
  <c r="K68" i="16"/>
  <c r="K67" i="16"/>
  <c r="K49" i="16"/>
  <c r="K94" i="16"/>
  <c r="K71" i="16"/>
  <c r="K76" i="16"/>
  <c r="K92" i="16"/>
  <c r="K79" i="16"/>
  <c r="K72" i="16"/>
  <c r="K87" i="16"/>
  <c r="K81" i="16"/>
  <c r="K77" i="16"/>
  <c r="K95" i="16"/>
  <c r="K70" i="16"/>
  <c r="L33" i="16"/>
  <c r="L20" i="16"/>
  <c r="L58" i="16"/>
  <c r="L54" i="16"/>
  <c r="L91" i="16"/>
  <c r="L78" i="16"/>
  <c r="L101" i="16"/>
  <c r="J106" i="16"/>
  <c r="H27" i="7"/>
  <c r="I27" i="7" s="1"/>
  <c r="B78" i="10" l="1"/>
  <c r="B80" i="10" s="1"/>
  <c r="B84" i="10"/>
  <c r="K101" i="16"/>
  <c r="H28" i="7"/>
  <c r="I28" i="7" s="1"/>
  <c r="J19" i="7" s="1"/>
  <c r="H29" i="7" l="1"/>
  <c r="I29" i="7" l="1"/>
  <c r="J29" i="7" s="1"/>
  <c r="H57" i="7" l="1"/>
  <c r="I57" i="7" s="1"/>
  <c r="J57" i="7" s="1"/>
  <c r="H44" i="7"/>
  <c r="I44" i="7" s="1"/>
  <c r="H37" i="7"/>
  <c r="I37" i="7" s="1"/>
  <c r="H64" i="7"/>
  <c r="I64" i="7" s="1"/>
  <c r="H62" i="7"/>
  <c r="I62" i="7" s="1"/>
  <c r="H69" i="7"/>
  <c r="I69" i="7" s="1"/>
  <c r="J69" i="7" s="1"/>
  <c r="H45" i="7"/>
  <c r="I45" i="7" s="1"/>
  <c r="H77" i="7"/>
  <c r="I77" i="7" s="1"/>
  <c r="J77" i="7" s="1"/>
  <c r="H46" i="7"/>
  <c r="I46" i="7" s="1"/>
  <c r="H70" i="7"/>
  <c r="I70" i="7" s="1"/>
  <c r="J70" i="7" s="1"/>
  <c r="H38" i="7"/>
  <c r="I38" i="7" s="1"/>
  <c r="H58" i="7"/>
  <c r="I58" i="7" s="1"/>
  <c r="J58" i="7" s="1"/>
  <c r="H54" i="7"/>
  <c r="I54" i="7" s="1"/>
  <c r="J54" i="7" s="1"/>
  <c r="H35" i="7"/>
  <c r="I35" i="7" s="1"/>
  <c r="H56" i="7"/>
  <c r="I56" i="7" s="1"/>
  <c r="J56" i="7" s="1"/>
  <c r="H31" i="7"/>
  <c r="I31" i="7" s="1"/>
  <c r="H63" i="7"/>
  <c r="I63" i="7" s="1"/>
  <c r="H47" i="7"/>
  <c r="I47" i="7" s="1"/>
  <c r="H76" i="7"/>
  <c r="I76" i="7" s="1"/>
  <c r="J76" i="7" s="1"/>
  <c r="H55" i="7"/>
  <c r="I55" i="7" s="1"/>
  <c r="J55" i="7" s="1"/>
  <c r="H40" i="7"/>
  <c r="I40" i="7" s="1"/>
  <c r="J40" i="7" s="1"/>
  <c r="H65" i="7"/>
  <c r="I65" i="7" s="1"/>
  <c r="H42" i="7"/>
  <c r="I42" i="7" s="1"/>
  <c r="J42" i="7" s="1"/>
  <c r="H61" i="7"/>
  <c r="I61" i="7" s="1"/>
  <c r="H67" i="7"/>
  <c r="I67" i="7" s="1"/>
  <c r="J67" i="7" s="1"/>
  <c r="H59" i="7"/>
  <c r="I59" i="7" s="1"/>
  <c r="J59" i="7" s="1"/>
  <c r="H68" i="7"/>
  <c r="I68" i="7" s="1"/>
  <c r="J68" i="7" s="1"/>
  <c r="H73" i="7"/>
  <c r="I73" i="7" s="1"/>
  <c r="J73" i="7" s="1"/>
  <c r="H36" i="7"/>
  <c r="I36" i="7" s="1"/>
  <c r="H75" i="7"/>
  <c r="I75" i="7" s="1"/>
  <c r="J75" i="7" s="1"/>
  <c r="H50" i="7"/>
  <c r="I50" i="7" s="1"/>
  <c r="H74" i="7"/>
  <c r="I74" i="7" s="1"/>
  <c r="J74" i="7" s="1"/>
  <c r="H78" i="7"/>
  <c r="I78" i="7" s="1"/>
  <c r="J78" i="7" s="1"/>
  <c r="H52" i="7"/>
  <c r="I52" i="7" s="1"/>
  <c r="J52" i="7" s="1"/>
  <c r="H41" i="7"/>
  <c r="I41" i="7" s="1"/>
  <c r="J41" i="7" s="1"/>
  <c r="H48" i="7"/>
  <c r="I48" i="7" s="1"/>
  <c r="H66" i="7"/>
  <c r="I66" i="7" s="1"/>
  <c r="H71" i="7"/>
  <c r="I71" i="7" s="1"/>
  <c r="J71" i="7" s="1"/>
  <c r="H72" i="7"/>
  <c r="I72" i="7" s="1"/>
  <c r="J72" i="7" s="1"/>
  <c r="H32" i="7"/>
  <c r="I32" i="7" s="1"/>
  <c r="H51" i="7"/>
  <c r="I51" i="7" s="1"/>
  <c r="H53" i="7"/>
  <c r="I53" i="7" s="1"/>
  <c r="J53" i="7" s="1"/>
  <c r="H39" i="7"/>
  <c r="I39" i="7" s="1"/>
  <c r="H33" i="7"/>
  <c r="I33" i="7" s="1"/>
  <c r="J49" i="7" l="1"/>
  <c r="J60" i="7"/>
  <c r="J30" i="7"/>
  <c r="J34" i="7"/>
  <c r="J43" i="7"/>
  <c r="J80" i="7" l="1"/>
  <c r="J81" i="7" l="1"/>
  <c r="J82" i="7" s="1"/>
  <c r="J83" i="7" l="1"/>
  <c r="J84" i="7" l="1"/>
  <c r="J85" i="7" s="1"/>
  <c r="J86" i="7" s="1"/>
  <c r="J91" i="7" s="1"/>
  <c r="L88" i="7" l="1"/>
  <c r="D79" i="10" l="1"/>
  <c r="D84" i="10" l="1"/>
  <c r="D78" i="10" l="1"/>
  <c r="D80" i="10" l="1"/>
  <c r="D100" i="10" s="1"/>
  <c r="D102" i="10" s="1"/>
  <c r="I97" i="17" l="1"/>
  <c r="J54" i="17" l="1"/>
  <c r="J52" i="17"/>
  <c r="J94" i="17"/>
  <c r="J78" i="17"/>
  <c r="J77" i="17"/>
  <c r="J76" i="17"/>
  <c r="J68" i="17"/>
  <c r="J70" i="17"/>
  <c r="J95" i="17"/>
  <c r="J84" i="17"/>
  <c r="J73" i="17"/>
  <c r="J79" i="17"/>
  <c r="J67" i="17"/>
  <c r="J65" i="17"/>
  <c r="J88" i="17"/>
  <c r="J69" i="17"/>
  <c r="J83" i="17"/>
  <c r="J72" i="17"/>
  <c r="J90" i="17"/>
  <c r="J66" i="17"/>
  <c r="J91" i="17"/>
  <c r="J82" i="17"/>
  <c r="J89" i="17"/>
  <c r="J48" i="17"/>
  <c r="J60" i="17"/>
  <c r="J25" i="17"/>
  <c r="J59" i="17"/>
  <c r="J64" i="17"/>
  <c r="J53" i="17"/>
  <c r="J63" i="17"/>
  <c r="J44" i="17"/>
  <c r="J61" i="17"/>
  <c r="J23" i="17"/>
  <c r="J45" i="17"/>
  <c r="J40" i="17"/>
  <c r="J26" i="17"/>
  <c r="J27" i="17"/>
  <c r="J24" i="17"/>
  <c r="J49" i="17"/>
  <c r="J55" i="17"/>
  <c r="J39" i="17"/>
  <c r="J13" i="17"/>
  <c r="J62" i="17"/>
  <c r="J35" i="17"/>
  <c r="J56" i="17"/>
  <c r="J34" i="17"/>
  <c r="J18" i="17"/>
  <c r="J20" i="17"/>
  <c r="J57" i="17"/>
  <c r="J33" i="17"/>
  <c r="J37" i="17"/>
  <c r="J38" i="17"/>
  <c r="J22" i="17"/>
  <c r="J17" i="17"/>
  <c r="J14" i="17"/>
  <c r="J28" i="17"/>
  <c r="J21" i="17"/>
  <c r="J47" i="17"/>
  <c r="J15" i="17"/>
  <c r="J51" i="17"/>
  <c r="J43" i="17"/>
  <c r="J75" i="17"/>
  <c r="J30" i="17"/>
  <c r="J31" i="17"/>
  <c r="J32" i="17"/>
  <c r="J46" i="17"/>
  <c r="J12" i="17"/>
  <c r="J11" i="17"/>
  <c r="M11" i="17" s="1"/>
  <c r="M79" i="17" l="1"/>
  <c r="O79" i="17"/>
  <c r="Q79" i="17"/>
  <c r="S79" i="17"/>
  <c r="U79" i="17"/>
  <c r="N79" i="17"/>
  <c r="P79" i="17"/>
  <c r="R79" i="17"/>
  <c r="T79" i="17"/>
  <c r="N76" i="17"/>
  <c r="P76" i="17"/>
  <c r="R76" i="17"/>
  <c r="T76" i="17"/>
  <c r="M76" i="17"/>
  <c r="O76" i="17"/>
  <c r="Q76" i="17"/>
  <c r="S76" i="17"/>
  <c r="U76" i="17"/>
  <c r="N78" i="17"/>
  <c r="P78" i="17"/>
  <c r="R78" i="17"/>
  <c r="T78" i="17"/>
  <c r="M78" i="17"/>
  <c r="O78" i="17"/>
  <c r="Q78" i="17"/>
  <c r="S78" i="17"/>
  <c r="U78" i="17"/>
  <c r="M77" i="17"/>
  <c r="O77" i="17"/>
  <c r="Q77" i="17"/>
  <c r="S77" i="17"/>
  <c r="U77" i="17"/>
  <c r="N77" i="17"/>
  <c r="P77" i="17"/>
  <c r="R77" i="17"/>
  <c r="T77" i="17"/>
  <c r="N46" i="17"/>
  <c r="P46" i="17"/>
  <c r="R46" i="17"/>
  <c r="T46" i="17"/>
  <c r="M46" i="17"/>
  <c r="Q46" i="17"/>
  <c r="U46" i="17"/>
  <c r="S46" i="17"/>
  <c r="O46" i="17"/>
  <c r="M75" i="17"/>
  <c r="O75" i="17"/>
  <c r="Q75" i="17"/>
  <c r="S75" i="17"/>
  <c r="U75" i="17"/>
  <c r="N75" i="17"/>
  <c r="P75" i="17"/>
  <c r="R75" i="17"/>
  <c r="T75" i="17"/>
  <c r="M51" i="17"/>
  <c r="O51" i="17"/>
  <c r="Q51" i="17"/>
  <c r="S51" i="17"/>
  <c r="U51" i="17"/>
  <c r="N51" i="17"/>
  <c r="R51" i="17"/>
  <c r="P51" i="17"/>
  <c r="T51" i="17"/>
  <c r="M47" i="17"/>
  <c r="O47" i="17"/>
  <c r="Q47" i="17"/>
  <c r="S47" i="17"/>
  <c r="U47" i="17"/>
  <c r="P47" i="17"/>
  <c r="T47" i="17"/>
  <c r="R47" i="17"/>
  <c r="N47" i="17"/>
  <c r="M28" i="17"/>
  <c r="O28" i="17"/>
  <c r="Q28" i="17"/>
  <c r="S28" i="17"/>
  <c r="U28" i="17"/>
  <c r="N28" i="17"/>
  <c r="R28" i="17"/>
  <c r="P28" i="17"/>
  <c r="T28" i="17"/>
  <c r="N17" i="17"/>
  <c r="P17" i="17"/>
  <c r="R17" i="17"/>
  <c r="T17" i="17"/>
  <c r="M17" i="17"/>
  <c r="Q17" i="17"/>
  <c r="U17" i="17"/>
  <c r="O17" i="17"/>
  <c r="S17" i="17"/>
  <c r="N38" i="17"/>
  <c r="P38" i="17"/>
  <c r="R38" i="17"/>
  <c r="T38" i="17"/>
  <c r="M38" i="17"/>
  <c r="Q38" i="17"/>
  <c r="U38" i="17"/>
  <c r="O38" i="17"/>
  <c r="S38" i="17"/>
  <c r="M33" i="17"/>
  <c r="O33" i="17"/>
  <c r="Q33" i="17"/>
  <c r="S33" i="17"/>
  <c r="U33" i="17"/>
  <c r="T33" i="17"/>
  <c r="N33" i="17"/>
  <c r="R33" i="17"/>
  <c r="P33" i="17"/>
  <c r="N20" i="17"/>
  <c r="P20" i="17"/>
  <c r="R20" i="17"/>
  <c r="T20" i="17"/>
  <c r="O20" i="17"/>
  <c r="S20" i="17"/>
  <c r="M20" i="17"/>
  <c r="Q20" i="17"/>
  <c r="U20" i="17"/>
  <c r="M34" i="17"/>
  <c r="O34" i="17"/>
  <c r="Q34" i="17"/>
  <c r="S34" i="17"/>
  <c r="U34" i="17"/>
  <c r="P34" i="17"/>
  <c r="T34" i="17"/>
  <c r="N34" i="17"/>
  <c r="R34" i="17"/>
  <c r="N35" i="17"/>
  <c r="P35" i="17"/>
  <c r="R35" i="17"/>
  <c r="T35" i="17"/>
  <c r="O35" i="17"/>
  <c r="S35" i="17"/>
  <c r="M35" i="17"/>
  <c r="Q35" i="17"/>
  <c r="U35" i="17"/>
  <c r="M13" i="17"/>
  <c r="O13" i="17"/>
  <c r="Q13" i="17"/>
  <c r="S13" i="17"/>
  <c r="U13" i="17"/>
  <c r="R13" i="17"/>
  <c r="P13" i="17"/>
  <c r="T13" i="17"/>
  <c r="N13" i="17"/>
  <c r="M55" i="17"/>
  <c r="O55" i="17"/>
  <c r="Q55" i="17"/>
  <c r="S55" i="17"/>
  <c r="U55" i="17"/>
  <c r="P55" i="17"/>
  <c r="T55" i="17"/>
  <c r="N55" i="17"/>
  <c r="R55" i="17"/>
  <c r="M24" i="17"/>
  <c r="O24" i="17"/>
  <c r="Q24" i="17"/>
  <c r="S24" i="17"/>
  <c r="U24" i="17"/>
  <c r="N24" i="17"/>
  <c r="R24" i="17"/>
  <c r="P24" i="17"/>
  <c r="T24" i="17"/>
  <c r="M26" i="17"/>
  <c r="O26" i="17"/>
  <c r="Q26" i="17"/>
  <c r="S26" i="17"/>
  <c r="U26" i="17"/>
  <c r="P26" i="17"/>
  <c r="T26" i="17"/>
  <c r="N26" i="17"/>
  <c r="R26" i="17"/>
  <c r="M45" i="17"/>
  <c r="O45" i="17"/>
  <c r="Q45" i="17"/>
  <c r="S45" i="17"/>
  <c r="U45" i="17"/>
  <c r="P45" i="17"/>
  <c r="T45" i="17"/>
  <c r="N45" i="17"/>
  <c r="R45" i="17"/>
  <c r="N61" i="17"/>
  <c r="P61" i="17"/>
  <c r="R61" i="17"/>
  <c r="T61" i="17"/>
  <c r="O61" i="17"/>
  <c r="S61" i="17"/>
  <c r="Q61" i="17"/>
  <c r="M61" i="17"/>
  <c r="U61" i="17"/>
  <c r="N63" i="17"/>
  <c r="P63" i="17"/>
  <c r="R63" i="17"/>
  <c r="T63" i="17"/>
  <c r="M63" i="17"/>
  <c r="Q63" i="17"/>
  <c r="U63" i="17"/>
  <c r="O63" i="17"/>
  <c r="S63" i="17"/>
  <c r="M64" i="17"/>
  <c r="O64" i="17"/>
  <c r="Q64" i="17"/>
  <c r="S64" i="17"/>
  <c r="U64" i="17"/>
  <c r="P64" i="17"/>
  <c r="T64" i="17"/>
  <c r="N64" i="17"/>
  <c r="R64" i="17"/>
  <c r="N25" i="17"/>
  <c r="P25" i="17"/>
  <c r="R25" i="17"/>
  <c r="T25" i="17"/>
  <c r="M25" i="17"/>
  <c r="Q25" i="17"/>
  <c r="U25" i="17"/>
  <c r="O25" i="17"/>
  <c r="S25" i="17"/>
  <c r="N48" i="17"/>
  <c r="P48" i="17"/>
  <c r="R48" i="17"/>
  <c r="T48" i="17"/>
  <c r="O48" i="17"/>
  <c r="S48" i="17"/>
  <c r="Q48" i="17"/>
  <c r="M48" i="17"/>
  <c r="U48" i="17"/>
  <c r="M82" i="17"/>
  <c r="O82" i="17"/>
  <c r="Q82" i="17"/>
  <c r="S82" i="17"/>
  <c r="U82" i="17"/>
  <c r="N82" i="17"/>
  <c r="P82" i="17"/>
  <c r="R82" i="17"/>
  <c r="T82" i="17"/>
  <c r="M66" i="17"/>
  <c r="O66" i="17"/>
  <c r="Q66" i="17"/>
  <c r="S66" i="17"/>
  <c r="U66" i="17"/>
  <c r="N66" i="17"/>
  <c r="R66" i="17"/>
  <c r="T66" i="17"/>
  <c r="P66" i="17"/>
  <c r="N72" i="17"/>
  <c r="P72" i="17"/>
  <c r="R72" i="17"/>
  <c r="T72" i="17"/>
  <c r="M72" i="17"/>
  <c r="O72" i="17"/>
  <c r="Q72" i="17"/>
  <c r="S72" i="17"/>
  <c r="U72" i="17"/>
  <c r="N69" i="17"/>
  <c r="P69" i="17"/>
  <c r="R69" i="17"/>
  <c r="T69" i="17"/>
  <c r="M69" i="17"/>
  <c r="O69" i="17"/>
  <c r="Q69" i="17"/>
  <c r="S69" i="17"/>
  <c r="U69" i="17"/>
  <c r="N65" i="17"/>
  <c r="P65" i="17"/>
  <c r="R65" i="17"/>
  <c r="T65" i="17"/>
  <c r="O65" i="17"/>
  <c r="S65" i="17"/>
  <c r="M65" i="17"/>
  <c r="U65" i="17"/>
  <c r="Q65" i="17"/>
  <c r="M84" i="17"/>
  <c r="O84" i="17"/>
  <c r="Q84" i="17"/>
  <c r="S84" i="17"/>
  <c r="U84" i="17"/>
  <c r="N84" i="17"/>
  <c r="P84" i="17"/>
  <c r="R84" i="17"/>
  <c r="T84" i="17"/>
  <c r="M70" i="17"/>
  <c r="O70" i="17"/>
  <c r="Q70" i="17"/>
  <c r="S70" i="17"/>
  <c r="U70" i="17"/>
  <c r="N70" i="17"/>
  <c r="P70" i="17"/>
  <c r="R70" i="17"/>
  <c r="T70" i="17"/>
  <c r="N52" i="17"/>
  <c r="P52" i="17"/>
  <c r="R52" i="17"/>
  <c r="T52" i="17"/>
  <c r="S52" i="17"/>
  <c r="M52" i="17"/>
  <c r="Q52" i="17"/>
  <c r="U52" i="17"/>
  <c r="O52" i="17"/>
  <c r="M31" i="17"/>
  <c r="O31" i="17"/>
  <c r="Q31" i="17"/>
  <c r="S31" i="17"/>
  <c r="U31" i="17"/>
  <c r="N31" i="17"/>
  <c r="P31" i="17"/>
  <c r="T31" i="17"/>
  <c r="R31" i="17"/>
  <c r="N12" i="17"/>
  <c r="P12" i="17"/>
  <c r="R12" i="17"/>
  <c r="T12" i="17"/>
  <c r="M12" i="17"/>
  <c r="Q12" i="17"/>
  <c r="U12" i="17"/>
  <c r="O12" i="17"/>
  <c r="S12" i="17"/>
  <c r="N32" i="17"/>
  <c r="P32" i="17"/>
  <c r="R32" i="17"/>
  <c r="T32" i="17"/>
  <c r="O32" i="17"/>
  <c r="S32" i="17"/>
  <c r="M32" i="17"/>
  <c r="Q32" i="17"/>
  <c r="U32" i="17"/>
  <c r="N30" i="17"/>
  <c r="P30" i="17"/>
  <c r="R30" i="17"/>
  <c r="T30" i="17"/>
  <c r="M30" i="17"/>
  <c r="Q30" i="17"/>
  <c r="U30" i="17"/>
  <c r="O30" i="17"/>
  <c r="S30" i="17"/>
  <c r="M43" i="17"/>
  <c r="O43" i="17"/>
  <c r="Q43" i="17"/>
  <c r="S43" i="17"/>
  <c r="U43" i="17"/>
  <c r="P43" i="17"/>
  <c r="N43" i="17"/>
  <c r="R43" i="17"/>
  <c r="T43" i="17"/>
  <c r="M15" i="17"/>
  <c r="O15" i="17"/>
  <c r="Q15" i="17"/>
  <c r="S15" i="17"/>
  <c r="U15" i="17"/>
  <c r="T15" i="17"/>
  <c r="N15" i="17"/>
  <c r="R15" i="17"/>
  <c r="P15" i="17"/>
  <c r="M21" i="17"/>
  <c r="O21" i="17"/>
  <c r="P21" i="17"/>
  <c r="N21" i="17"/>
  <c r="Q21" i="17"/>
  <c r="S21" i="17"/>
  <c r="U21" i="17"/>
  <c r="R21" i="17"/>
  <c r="T21" i="17"/>
  <c r="N14" i="17"/>
  <c r="P14" i="17"/>
  <c r="R14" i="17"/>
  <c r="T14" i="17"/>
  <c r="O14" i="17"/>
  <c r="S14" i="17"/>
  <c r="M14" i="17"/>
  <c r="Q14" i="17"/>
  <c r="U14" i="17"/>
  <c r="Q22" i="17"/>
  <c r="U22" i="17"/>
  <c r="N22" i="17"/>
  <c r="P22" i="17"/>
  <c r="R22" i="17"/>
  <c r="T22" i="17"/>
  <c r="M22" i="17"/>
  <c r="O22" i="17"/>
  <c r="S22" i="17"/>
  <c r="M37" i="17"/>
  <c r="O37" i="17"/>
  <c r="Q37" i="17"/>
  <c r="S37" i="17"/>
  <c r="U37" i="17"/>
  <c r="N37" i="17"/>
  <c r="R37" i="17"/>
  <c r="P37" i="17"/>
  <c r="T37" i="17"/>
  <c r="M57" i="17"/>
  <c r="O57" i="17"/>
  <c r="Q57" i="17"/>
  <c r="S57" i="17"/>
  <c r="U57" i="17"/>
  <c r="N57" i="17"/>
  <c r="R57" i="17"/>
  <c r="T57" i="17"/>
  <c r="P57" i="17"/>
  <c r="M18" i="17"/>
  <c r="O18" i="17"/>
  <c r="Q18" i="17"/>
  <c r="S18" i="17"/>
  <c r="U18" i="17"/>
  <c r="N18" i="17"/>
  <c r="P18" i="17"/>
  <c r="T18" i="17"/>
  <c r="R18" i="17"/>
  <c r="N56" i="17"/>
  <c r="P56" i="17"/>
  <c r="R56" i="17"/>
  <c r="T56" i="17"/>
  <c r="O56" i="17"/>
  <c r="S56" i="17"/>
  <c r="M56" i="17"/>
  <c r="U56" i="17"/>
  <c r="Q56" i="17"/>
  <c r="M62" i="17"/>
  <c r="O62" i="17"/>
  <c r="Q62" i="17"/>
  <c r="S62" i="17"/>
  <c r="U62" i="17"/>
  <c r="N62" i="17"/>
  <c r="R62" i="17"/>
  <c r="P62" i="17"/>
  <c r="T62" i="17"/>
  <c r="M39" i="17"/>
  <c r="O39" i="17"/>
  <c r="Q39" i="17"/>
  <c r="S39" i="17"/>
  <c r="U39" i="17"/>
  <c r="P39" i="17"/>
  <c r="T39" i="17"/>
  <c r="N39" i="17"/>
  <c r="R39" i="17"/>
  <c r="M49" i="17"/>
  <c r="O49" i="17"/>
  <c r="Q49" i="17"/>
  <c r="S49" i="17"/>
  <c r="U49" i="17"/>
  <c r="N49" i="17"/>
  <c r="R49" i="17"/>
  <c r="P49" i="17"/>
  <c r="T49" i="17"/>
  <c r="N27" i="17"/>
  <c r="P27" i="17"/>
  <c r="R27" i="17"/>
  <c r="T27" i="17"/>
  <c r="M27" i="17"/>
  <c r="O27" i="17"/>
  <c r="S27" i="17"/>
  <c r="Q27" i="17"/>
  <c r="U27" i="17"/>
  <c r="N40" i="17"/>
  <c r="P40" i="17"/>
  <c r="R40" i="17"/>
  <c r="T40" i="17"/>
  <c r="O40" i="17"/>
  <c r="S40" i="17"/>
  <c r="M40" i="17"/>
  <c r="Q40" i="17"/>
  <c r="U40" i="17"/>
  <c r="N23" i="17"/>
  <c r="P23" i="17"/>
  <c r="R23" i="17"/>
  <c r="T23" i="17"/>
  <c r="U23" i="17"/>
  <c r="O23" i="17"/>
  <c r="S23" i="17"/>
  <c r="M23" i="17"/>
  <c r="Q23" i="17"/>
  <c r="N44" i="17"/>
  <c r="P44" i="17"/>
  <c r="R44" i="17"/>
  <c r="T44" i="17"/>
  <c r="M44" i="17"/>
  <c r="Q44" i="17"/>
  <c r="U44" i="17"/>
  <c r="O44" i="17"/>
  <c r="S44" i="17"/>
  <c r="M53" i="17"/>
  <c r="O53" i="17"/>
  <c r="Q53" i="17"/>
  <c r="S53" i="17"/>
  <c r="U53" i="17"/>
  <c r="N53" i="17"/>
  <c r="R53" i="17"/>
  <c r="T53" i="17"/>
  <c r="P53" i="17"/>
  <c r="N59" i="17"/>
  <c r="P59" i="17"/>
  <c r="R59" i="17"/>
  <c r="T59" i="17"/>
  <c r="M59" i="17"/>
  <c r="Q59" i="17"/>
  <c r="U59" i="17"/>
  <c r="S59" i="17"/>
  <c r="O59" i="17"/>
  <c r="M60" i="17"/>
  <c r="O60" i="17"/>
  <c r="Q60" i="17"/>
  <c r="S60" i="17"/>
  <c r="U60" i="17"/>
  <c r="P60" i="17"/>
  <c r="T60" i="17"/>
  <c r="R60" i="17"/>
  <c r="N60" i="17"/>
  <c r="M89" i="17"/>
  <c r="O89" i="17"/>
  <c r="Q89" i="17"/>
  <c r="S89" i="17"/>
  <c r="U89" i="17"/>
  <c r="N89" i="17"/>
  <c r="P89" i="17"/>
  <c r="R89" i="17"/>
  <c r="T89" i="17"/>
  <c r="M91" i="17"/>
  <c r="O91" i="17"/>
  <c r="Q91" i="17"/>
  <c r="S91" i="17"/>
  <c r="U91" i="17"/>
  <c r="N91" i="17"/>
  <c r="P91" i="17"/>
  <c r="R91" i="17"/>
  <c r="T91" i="17"/>
  <c r="N90" i="17"/>
  <c r="P90" i="17"/>
  <c r="R90" i="17"/>
  <c r="T90" i="17"/>
  <c r="M90" i="17"/>
  <c r="O90" i="17"/>
  <c r="Q90" i="17"/>
  <c r="S90" i="17"/>
  <c r="U90" i="17"/>
  <c r="N83" i="17"/>
  <c r="P83" i="17"/>
  <c r="R83" i="17"/>
  <c r="T83" i="17"/>
  <c r="M83" i="17"/>
  <c r="O83" i="17"/>
  <c r="Q83" i="17"/>
  <c r="S83" i="17"/>
  <c r="U83" i="17"/>
  <c r="N88" i="17"/>
  <c r="P88" i="17"/>
  <c r="R88" i="17"/>
  <c r="T88" i="17"/>
  <c r="M88" i="17"/>
  <c r="O88" i="17"/>
  <c r="Q88" i="17"/>
  <c r="S88" i="17"/>
  <c r="U88" i="17"/>
  <c r="N67" i="17"/>
  <c r="P67" i="17"/>
  <c r="R67" i="17"/>
  <c r="T67" i="17"/>
  <c r="M67" i="17"/>
  <c r="O67" i="17"/>
  <c r="Q67" i="17"/>
  <c r="S67" i="17"/>
  <c r="U67" i="17"/>
  <c r="M73" i="17"/>
  <c r="O73" i="17"/>
  <c r="Q73" i="17"/>
  <c r="S73" i="17"/>
  <c r="U73" i="17"/>
  <c r="N73" i="17"/>
  <c r="P73" i="17"/>
  <c r="R73" i="17"/>
  <c r="T73" i="17"/>
  <c r="N95" i="17"/>
  <c r="P95" i="17"/>
  <c r="R95" i="17"/>
  <c r="T95" i="17"/>
  <c r="M95" i="17"/>
  <c r="O95" i="17"/>
  <c r="Q95" i="17"/>
  <c r="S95" i="17"/>
  <c r="U95" i="17"/>
  <c r="M68" i="17"/>
  <c r="O68" i="17"/>
  <c r="Q68" i="17"/>
  <c r="S68" i="17"/>
  <c r="U68" i="17"/>
  <c r="N68" i="17"/>
  <c r="P68" i="17"/>
  <c r="R68" i="17"/>
  <c r="T68" i="17"/>
  <c r="M94" i="17"/>
  <c r="O94" i="17"/>
  <c r="Q94" i="17"/>
  <c r="S94" i="17"/>
  <c r="U94" i="17"/>
  <c r="N94" i="17"/>
  <c r="P94" i="17"/>
  <c r="R94" i="17"/>
  <c r="T94" i="17"/>
  <c r="N54" i="17"/>
  <c r="P54" i="17"/>
  <c r="R54" i="17"/>
  <c r="T54" i="17"/>
  <c r="M54" i="17"/>
  <c r="Q54" i="17"/>
  <c r="U54" i="17"/>
  <c r="O54" i="17"/>
  <c r="S54" i="17"/>
  <c r="T11" i="17"/>
  <c r="P11" i="17"/>
  <c r="S11" i="17"/>
  <c r="Q11" i="17"/>
  <c r="O11" i="17"/>
  <c r="U11" i="17"/>
  <c r="R11" i="17"/>
  <c r="N11" i="17"/>
  <c r="J97" i="17"/>
  <c r="X95" i="17" l="1"/>
  <c r="X83" i="17"/>
  <c r="X39" i="17"/>
  <c r="X30" i="17"/>
  <c r="X52" i="17"/>
  <c r="X77" i="17"/>
  <c r="X94" i="17"/>
  <c r="X68" i="17"/>
  <c r="X73" i="17"/>
  <c r="X67" i="17"/>
  <c r="X88" i="17"/>
  <c r="X90" i="17"/>
  <c r="X89" i="17"/>
  <c r="X53" i="17"/>
  <c r="X44" i="17"/>
  <c r="X40" i="17"/>
  <c r="X49" i="17"/>
  <c r="X62" i="17"/>
  <c r="X18" i="17"/>
  <c r="X57" i="17"/>
  <c r="X37" i="17"/>
  <c r="X14" i="17"/>
  <c r="X15" i="17"/>
  <c r="X43" i="17"/>
  <c r="X12" i="17"/>
  <c r="X76" i="17"/>
  <c r="X84" i="17"/>
  <c r="X72" i="17"/>
  <c r="X82" i="17"/>
  <c r="X48" i="17"/>
  <c r="X25" i="17"/>
  <c r="X63" i="17"/>
  <c r="X61" i="17"/>
  <c r="X45" i="17"/>
  <c r="X24" i="17"/>
  <c r="X13" i="17"/>
  <c r="X34" i="17"/>
  <c r="X33" i="17"/>
  <c r="X17" i="17"/>
  <c r="X47" i="17"/>
  <c r="X75" i="17"/>
  <c r="X46" i="17"/>
  <c r="X91" i="17"/>
  <c r="X60" i="17"/>
  <c r="X59" i="17"/>
  <c r="X23" i="17"/>
  <c r="X27" i="17"/>
  <c r="X56" i="17"/>
  <c r="X22" i="17"/>
  <c r="X21" i="17"/>
  <c r="X32" i="17"/>
  <c r="X31" i="17"/>
  <c r="X78" i="17"/>
  <c r="X70" i="17"/>
  <c r="X79" i="17"/>
  <c r="X65" i="17"/>
  <c r="X69" i="17"/>
  <c r="X66" i="17"/>
  <c r="X64" i="17"/>
  <c r="X26" i="17"/>
  <c r="X55" i="17"/>
  <c r="X35" i="17"/>
  <c r="X20" i="17"/>
  <c r="X38" i="17"/>
  <c r="X28" i="17"/>
  <c r="X51" i="17"/>
  <c r="X11" i="17"/>
  <c r="M99" i="17"/>
  <c r="R99" i="17"/>
  <c r="U99" i="17"/>
  <c r="P99" i="17"/>
  <c r="P103" i="17" s="1"/>
  <c r="O99" i="17"/>
  <c r="O103" i="17" s="1"/>
  <c r="N99" i="17"/>
  <c r="S99" i="17"/>
  <c r="S103" i="17" s="1"/>
  <c r="T99" i="17"/>
  <c r="Q99" i="17"/>
  <c r="T103" i="17" l="1"/>
  <c r="T101" i="17"/>
  <c r="AC99" i="17"/>
  <c r="Q103" i="17"/>
  <c r="AG99" i="17"/>
  <c r="U103" i="17"/>
  <c r="M100" i="17"/>
  <c r="M103" i="17"/>
  <c r="M104" i="17" s="1"/>
  <c r="Z106" i="17" s="1"/>
  <c r="Z99" i="17"/>
  <c r="N103" i="17"/>
  <c r="N104" i="17" s="1"/>
  <c r="AD99" i="17"/>
  <c r="R103" i="17"/>
  <c r="O101" i="17"/>
  <c r="O105" i="17" s="1"/>
  <c r="AA99" i="17"/>
  <c r="P101" i="17"/>
  <c r="P105" i="17" s="1"/>
  <c r="AB99" i="17"/>
  <c r="AF99" i="17"/>
  <c r="S101" i="17"/>
  <c r="S105" i="17" s="1"/>
  <c r="AE99" i="17"/>
  <c r="R101" i="17"/>
  <c r="R105" i="17" s="1"/>
  <c r="Y100" i="17"/>
  <c r="M101" i="17"/>
  <c r="N101" i="17"/>
  <c r="N105" i="17" s="1"/>
  <c r="Y99" i="17"/>
  <c r="N100" i="17"/>
  <c r="U101" i="17"/>
  <c r="U105" i="17" s="1"/>
  <c r="Q101" i="17"/>
  <c r="Q105" i="17" s="1"/>
  <c r="X97" i="17"/>
  <c r="T105" i="17" l="1"/>
  <c r="M105" i="17"/>
  <c r="M106" i="17" s="1"/>
  <c r="N106" i="17" s="1"/>
  <c r="O106" i="17" s="1"/>
  <c r="P106" i="17" s="1"/>
  <c r="Q106" i="17" s="1"/>
  <c r="R106" i="17" s="1"/>
  <c r="S106" i="17" s="1"/>
  <c r="M102" i="17"/>
  <c r="O104" i="17"/>
  <c r="AA106" i="17"/>
  <c r="Z100" i="17"/>
  <c r="N102" i="17"/>
  <c r="O102" i="17" s="1"/>
  <c r="P102" i="17" s="1"/>
  <c r="Q102" i="17" s="1"/>
  <c r="R102" i="17" s="1"/>
  <c r="S102" i="17" s="1"/>
  <c r="O100" i="17"/>
  <c r="T102" i="17" l="1"/>
  <c r="U102" i="17" s="1"/>
  <c r="L105" i="17" s="1"/>
  <c r="P104" i="17"/>
  <c r="AB106" i="17"/>
  <c r="T106" i="17"/>
  <c r="U106" i="17" s="1"/>
  <c r="AA100" i="17"/>
  <c r="P100" i="17"/>
  <c r="Q104" i="17" l="1"/>
  <c r="AC106" i="17"/>
  <c r="Q100" i="17"/>
  <c r="AC100" i="17" s="1"/>
  <c r="AB100" i="17"/>
  <c r="AD106" i="17" l="1"/>
  <c r="R104" i="17"/>
  <c r="R100" i="17"/>
  <c r="AD100" i="17" s="1"/>
  <c r="AE106" i="17" l="1"/>
  <c r="S104" i="17"/>
  <c r="S100" i="17"/>
  <c r="AE100" i="17" s="1"/>
  <c r="T104" i="17" l="1"/>
  <c r="AF106" i="17"/>
  <c r="T100" i="17"/>
  <c r="AF100" i="17" s="1"/>
  <c r="U104" i="17" l="1"/>
  <c r="AH106" i="17" s="1"/>
  <c r="AG106" i="17"/>
  <c r="U100" i="17"/>
  <c r="AG100" i="17" l="1"/>
</calcChain>
</file>

<file path=xl/sharedStrings.xml><?xml version="1.0" encoding="utf-8"?>
<sst xmlns="http://schemas.openxmlformats.org/spreadsheetml/2006/main" count="10295" uniqueCount="2744">
  <si>
    <t>01.</t>
  </si>
  <si>
    <t>02.</t>
  </si>
  <si>
    <t>ml</t>
  </si>
  <si>
    <t>03.</t>
  </si>
  <si>
    <t>DEMOLICIONES</t>
  </si>
  <si>
    <t>04.</t>
  </si>
  <si>
    <t>05.</t>
  </si>
  <si>
    <t>06.</t>
  </si>
  <si>
    <t>07.</t>
  </si>
  <si>
    <t>08.</t>
  </si>
  <si>
    <t>09.</t>
  </si>
  <si>
    <t>10.</t>
  </si>
  <si>
    <t>11.</t>
  </si>
  <si>
    <t>12.</t>
  </si>
  <si>
    <t>13.</t>
  </si>
  <si>
    <t>REVOQUES</t>
  </si>
  <si>
    <t>14.</t>
  </si>
  <si>
    <t>REVESTIMIENTOS</t>
  </si>
  <si>
    <t>15.</t>
  </si>
  <si>
    <t>16.</t>
  </si>
  <si>
    <t>17.</t>
  </si>
  <si>
    <t>18.</t>
  </si>
  <si>
    <t>PINTURAS</t>
  </si>
  <si>
    <t>COD.</t>
  </si>
  <si>
    <t>UNIDAD</t>
  </si>
  <si>
    <t>$ UNITARIO</t>
  </si>
  <si>
    <t>$ PRECIO</t>
  </si>
  <si>
    <t>PROVEEDOR</t>
  </si>
  <si>
    <t>EQUIPAMIENTO</t>
  </si>
  <si>
    <t>INSTALACIÓN ELÉCTRICA</t>
  </si>
  <si>
    <t>INSTALACIÓN SANITARIA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</si>
  <si>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</si>
  <si>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</si>
  <si>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</si>
  <si>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</si>
  <si>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</si>
  <si>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</si>
  <si>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</si>
  <si>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</si>
  <si>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</si>
  <si>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</si>
  <si>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</si>
  <si>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</si>
  <si>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</si>
  <si>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</si>
  <si>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</si>
  <si>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</si>
  <si>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</si>
  <si>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</si>
  <si>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</si>
  <si>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</si>
  <si>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</si>
  <si>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</si>
  <si>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</si>
  <si>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</si>
  <si>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</si>
  <si>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</si>
  <si>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</si>
  <si>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</si>
  <si>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</si>
  <si>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</si>
  <si>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</si>
  <si>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</si>
  <si>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</si>
  <si>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</si>
  <si>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CANT.</t>
  </si>
  <si>
    <t>Hierro</t>
  </si>
  <si>
    <t>kg</t>
  </si>
  <si>
    <t>Arena Fina</t>
  </si>
  <si>
    <t>Cal</t>
  </si>
  <si>
    <t>Cemento Normal</t>
  </si>
  <si>
    <t>Placa 12,5 mm</t>
  </si>
  <si>
    <t>Montante de 70 mm</t>
  </si>
  <si>
    <t>Montante de 35 mm</t>
  </si>
  <si>
    <t>Solera de 70 mm</t>
  </si>
  <si>
    <t>Solera de 35 mm</t>
  </si>
  <si>
    <t>T1 PM</t>
  </si>
  <si>
    <t>T2 PA</t>
  </si>
  <si>
    <t>T3 PA</t>
  </si>
  <si>
    <t>Fijación Completa 6 mm</t>
  </si>
  <si>
    <t>Fijación Completa 8 mm</t>
  </si>
  <si>
    <t>Fijación Completa 10 mm</t>
  </si>
  <si>
    <t>un</t>
  </si>
  <si>
    <t>N001</t>
  </si>
  <si>
    <t>N002</t>
  </si>
  <si>
    <t>N003</t>
  </si>
  <si>
    <t>N004</t>
  </si>
  <si>
    <t>N005</t>
  </si>
  <si>
    <t>Oficial</t>
  </si>
  <si>
    <t>Ayudante</t>
  </si>
  <si>
    <t>Maquinista</t>
  </si>
  <si>
    <t>Herramientas de Mano</t>
  </si>
  <si>
    <t>DESCRIPCION DEL MATERIAL</t>
  </si>
  <si>
    <t>Accesorios</t>
  </si>
  <si>
    <t>gl</t>
  </si>
  <si>
    <t>Rubro:</t>
  </si>
  <si>
    <t>Sub Rubro:</t>
  </si>
  <si>
    <t>Ítem:</t>
  </si>
  <si>
    <t>Unida:</t>
  </si>
  <si>
    <t>A- MATERIALES:</t>
  </si>
  <si>
    <t>B- MANO DE OBRA:</t>
  </si>
  <si>
    <t>C- EQUIPOS:</t>
  </si>
  <si>
    <t>DATOS LICITACION (NOMBRE RANGO " DATRUB")</t>
  </si>
  <si>
    <t>RUB,/SUBRUB.</t>
  </si>
  <si>
    <t>DESCRIPCION/ DATOS LICITACION - RUBRO SUB RUBRO</t>
  </si>
  <si>
    <t>Z001</t>
  </si>
  <si>
    <t>Z002</t>
  </si>
  <si>
    <t>Z003</t>
  </si>
  <si>
    <t>Z004</t>
  </si>
  <si>
    <t>Z005</t>
  </si>
  <si>
    <t>Z010</t>
  </si>
  <si>
    <t>Z011</t>
  </si>
  <si>
    <t>Z012</t>
  </si>
  <si>
    <t>Z013</t>
  </si>
  <si>
    <t>Z021</t>
  </si>
  <si>
    <t>S/D</t>
  </si>
  <si>
    <t>-</t>
  </si>
  <si>
    <t>hs</t>
  </si>
  <si>
    <t>X001</t>
  </si>
  <si>
    <t>X002</t>
  </si>
  <si>
    <t>X003</t>
  </si>
  <si>
    <t>X004</t>
  </si>
  <si>
    <t>X005</t>
  </si>
  <si>
    <t>N006</t>
  </si>
  <si>
    <t>N007</t>
  </si>
  <si>
    <t>N008</t>
  </si>
  <si>
    <t>N009</t>
  </si>
  <si>
    <t>N010</t>
  </si>
  <si>
    <t>X006</t>
  </si>
  <si>
    <t>X007</t>
  </si>
  <si>
    <t>X008</t>
  </si>
  <si>
    <t>X009</t>
  </si>
  <si>
    <t>X010</t>
  </si>
  <si>
    <t>X011</t>
  </si>
  <si>
    <t>X012</t>
  </si>
  <si>
    <t>X013</t>
  </si>
  <si>
    <t>X014</t>
  </si>
  <si>
    <t>X015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</si>
  <si>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</si>
  <si>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</si>
  <si>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</si>
  <si>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</si>
  <si>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</si>
  <si>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</si>
  <si>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</si>
  <si>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</si>
  <si>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</si>
  <si>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</si>
  <si>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</si>
  <si>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</si>
  <si>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</si>
  <si>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</si>
  <si>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</si>
  <si>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</si>
  <si>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</si>
  <si>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</si>
  <si>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</si>
  <si>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</si>
  <si>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</si>
  <si>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</si>
  <si>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</si>
  <si>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</si>
  <si>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</si>
  <si>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</si>
  <si>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</si>
  <si>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</si>
  <si>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</si>
  <si>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</si>
  <si>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</si>
  <si>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</si>
  <si>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</si>
  <si>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</si>
  <si>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</si>
  <si>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</si>
  <si>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</si>
  <si>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</si>
  <si>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</si>
  <si>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</si>
  <si>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</si>
  <si>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</si>
  <si>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</si>
  <si>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</si>
  <si>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</si>
  <si>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</si>
  <si>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</si>
  <si>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</si>
  <si>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</si>
  <si>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</si>
  <si>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</si>
  <si>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</si>
  <si>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</si>
  <si>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</si>
  <si>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</si>
  <si>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</si>
  <si>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</si>
  <si>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</si>
  <si>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</si>
  <si>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</si>
  <si>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</si>
  <si>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</si>
  <si>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</si>
  <si>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</si>
  <si>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</si>
  <si>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</si>
  <si>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</si>
  <si>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</si>
  <si>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</si>
  <si>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</si>
  <si>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</si>
  <si>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</si>
  <si>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</si>
  <si>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</si>
  <si>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</si>
  <si>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</si>
  <si>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</si>
  <si>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</si>
  <si>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</si>
  <si>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</si>
  <si>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</si>
  <si>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</si>
  <si>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</si>
  <si>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</si>
  <si>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</si>
  <si>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</si>
  <si>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</si>
  <si>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</si>
  <si>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</si>
  <si>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</si>
  <si>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</si>
  <si>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</si>
  <si>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</si>
  <si>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</si>
  <si>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</si>
  <si>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</si>
  <si>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</si>
  <si>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</si>
  <si>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</si>
  <si>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</si>
  <si>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</si>
  <si>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</si>
  <si>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</si>
  <si>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</si>
  <si>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</si>
  <si>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</si>
  <si>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</si>
  <si>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</si>
  <si>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</si>
  <si>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</si>
  <si>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</si>
  <si>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</si>
  <si>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</si>
  <si>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</si>
  <si>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</si>
  <si>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</si>
  <si>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</si>
  <si>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</si>
  <si>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</si>
  <si>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</si>
  <si>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</si>
  <si>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</si>
  <si>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</si>
  <si>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</si>
  <si>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</si>
  <si>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</si>
  <si>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</si>
  <si>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</si>
  <si>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</si>
  <si>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</si>
  <si>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</si>
  <si>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</si>
  <si>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</si>
  <si>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</si>
  <si>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</si>
  <si>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</si>
  <si>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</si>
  <si>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</si>
  <si>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</si>
  <si>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</si>
  <si>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</si>
  <si>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</si>
  <si>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</si>
  <si>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</si>
  <si>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</si>
  <si>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</si>
  <si>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</si>
  <si>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</si>
  <si>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</si>
  <si>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</si>
  <si>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</si>
  <si>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</si>
  <si>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</si>
  <si>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</si>
  <si>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</si>
  <si>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</si>
  <si>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</si>
  <si>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</si>
  <si>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</si>
  <si>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</si>
  <si>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</si>
  <si>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</si>
  <si>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</si>
  <si>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</si>
  <si>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</si>
  <si>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</si>
  <si>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</si>
  <si>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</si>
  <si>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</si>
  <si>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</si>
  <si>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</si>
  <si>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</si>
  <si>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</si>
  <si>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</si>
  <si>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</si>
  <si>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</si>
  <si>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</si>
  <si>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</si>
  <si>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</si>
  <si>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</si>
  <si>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</si>
  <si>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</si>
  <si>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</si>
  <si>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</si>
  <si>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</si>
  <si>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</si>
  <si>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</si>
  <si>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</si>
  <si>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</si>
  <si>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</si>
  <si>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</si>
  <si>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</si>
  <si>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</si>
  <si>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</si>
  <si>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</si>
  <si>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</si>
  <si>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</si>
  <si>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</si>
  <si>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</si>
  <si>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</si>
  <si>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</si>
  <si>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</si>
  <si>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</si>
  <si>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</si>
  <si>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</si>
  <si>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</si>
  <si>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</si>
  <si>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</si>
  <si>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</si>
  <si>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</si>
  <si>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</si>
  <si>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</si>
  <si>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</si>
  <si>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</si>
  <si>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</si>
  <si>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</si>
  <si>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</si>
  <si>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</si>
  <si>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</si>
  <si>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</si>
  <si>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</si>
  <si>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</si>
  <si>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</si>
  <si>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</si>
  <si>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</si>
  <si>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</si>
  <si>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</si>
  <si>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</si>
  <si>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</si>
  <si>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</si>
  <si>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</si>
  <si>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</si>
  <si>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</si>
  <si>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</si>
  <si>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</si>
  <si>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</si>
  <si>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</si>
  <si>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</si>
  <si>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</si>
  <si>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</si>
  <si>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</si>
  <si>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</si>
  <si>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</si>
  <si>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</si>
  <si>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</si>
  <si>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</si>
  <si>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</si>
  <si>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</si>
  <si>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</si>
  <si>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</si>
  <si>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</si>
  <si>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</si>
  <si>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</si>
  <si>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</si>
  <si>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</si>
  <si>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</si>
  <si>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</si>
  <si>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</si>
  <si>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</si>
  <si>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</si>
  <si>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</si>
  <si>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</si>
  <si>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</si>
  <si>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</si>
  <si>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</si>
  <si>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</si>
  <si>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</si>
  <si>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</si>
  <si>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</si>
  <si>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</si>
  <si>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</si>
  <si>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</si>
  <si>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</si>
  <si>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</si>
  <si>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</si>
  <si>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</si>
  <si>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</si>
  <si>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</si>
  <si>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</si>
  <si>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</si>
  <si>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</si>
  <si>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</si>
  <si>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</si>
  <si>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</si>
  <si>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</si>
  <si>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</si>
  <si>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</si>
  <si>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</si>
  <si>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</si>
  <si>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</si>
  <si>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</si>
  <si>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</si>
  <si>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</si>
  <si>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</si>
  <si>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</si>
  <si>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</si>
  <si>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</si>
  <si>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</si>
  <si>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</si>
  <si>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</si>
  <si>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</si>
  <si>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</si>
  <si>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</si>
  <si>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</si>
  <si>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</si>
  <si>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</si>
  <si>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</si>
  <si>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</si>
  <si>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</si>
  <si>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</si>
  <si>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</si>
  <si>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</si>
  <si>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</si>
  <si>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</si>
  <si>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</si>
  <si>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</si>
  <si>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</si>
  <si>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</si>
  <si>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</si>
  <si>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</si>
  <si>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</si>
  <si>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</si>
  <si>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</si>
  <si>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</si>
  <si>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</si>
  <si>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</si>
  <si>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</si>
  <si>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</si>
  <si>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</si>
  <si>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</si>
  <si>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</si>
  <si>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</si>
  <si>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</si>
  <si>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</si>
  <si>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</si>
  <si>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</si>
  <si>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</si>
  <si>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</si>
  <si>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</si>
  <si>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</si>
  <si>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</si>
  <si>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</si>
  <si>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</si>
  <si>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</si>
  <si>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</si>
  <si>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</si>
  <si>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</si>
  <si>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</si>
  <si>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</si>
  <si>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</si>
  <si>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</si>
  <si>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</si>
  <si>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</si>
  <si>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</si>
  <si>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</si>
  <si>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</si>
  <si>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</si>
  <si>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</si>
  <si>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</si>
  <si>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</si>
  <si>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</si>
  <si>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</si>
  <si>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</si>
  <si>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</si>
  <si>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</si>
  <si>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TRABAJOS PREPARATORIOS</t>
  </si>
  <si>
    <t>1.1</t>
  </si>
  <si>
    <t>Preparación terreno,  Cartel, Obrador, Demoliciones</t>
  </si>
  <si>
    <t>1.2</t>
  </si>
  <si>
    <t>Replanteo y otros</t>
  </si>
  <si>
    <t>1.3</t>
  </si>
  <si>
    <t>Actividades complementarias</t>
  </si>
  <si>
    <t>MOVIMIENTO DE SUELOS</t>
  </si>
  <si>
    <t>2.1</t>
  </si>
  <si>
    <t>Terraplenamiento,  relleno y compactación</t>
  </si>
  <si>
    <t>2.2</t>
  </si>
  <si>
    <t>Excavaciones p/fundaciones</t>
  </si>
  <si>
    <t>m3</t>
  </si>
  <si>
    <t>ESTRUCTURA  RESISTENTE</t>
  </si>
  <si>
    <t>3.1</t>
  </si>
  <si>
    <t>Estructura de Hº Aº</t>
  </si>
  <si>
    <t>3.1.1</t>
  </si>
  <si>
    <t>Hormigones de limpieza y no estructurales</t>
  </si>
  <si>
    <t>m2</t>
  </si>
  <si>
    <t>3.1.2</t>
  </si>
  <si>
    <t>Hormigones para cimientos</t>
  </si>
  <si>
    <t>3.1.3</t>
  </si>
  <si>
    <t>Hormigones para plateas, zapatas, bases y vigas de fundación</t>
  </si>
  <si>
    <t>3.1.4</t>
  </si>
  <si>
    <t>Hormigones para vigas de arriostramiento</t>
  </si>
  <si>
    <t>3.1.5</t>
  </si>
  <si>
    <t>Hormigones para columnas de carga</t>
  </si>
  <si>
    <t>3.1.6</t>
  </si>
  <si>
    <t>Hormigones para columnas de encadenado</t>
  </si>
  <si>
    <t>3.1.7</t>
  </si>
  <si>
    <t>Hormigones para vigas  de carga</t>
  </si>
  <si>
    <t>3.1.8</t>
  </si>
  <si>
    <t>Hormigones para vigas de encadenado</t>
  </si>
  <si>
    <t>3.1.9</t>
  </si>
  <si>
    <t>Hormigones para losas</t>
  </si>
  <si>
    <t>3.1.10</t>
  </si>
  <si>
    <t>Losas Alivianadas</t>
  </si>
  <si>
    <t>ALBAÑILERÍA</t>
  </si>
  <si>
    <t>4.1</t>
  </si>
  <si>
    <t>Muros</t>
  </si>
  <si>
    <t>4.1.1</t>
  </si>
  <si>
    <t>Mamposterías de ladrillón de 0,30 m</t>
  </si>
  <si>
    <t>4.1.2</t>
  </si>
  <si>
    <t>Mamposterías de ladrillón de 0,20 m</t>
  </si>
  <si>
    <t>4.1.3</t>
  </si>
  <si>
    <t>Mamposterías de ladrillón de 0,10 m</t>
  </si>
  <si>
    <t>4.2</t>
  </si>
  <si>
    <t>Tabiques</t>
  </si>
  <si>
    <t>4.2.1</t>
  </si>
  <si>
    <t>Tabiques Durlock</t>
  </si>
  <si>
    <t>4.2.2</t>
  </si>
  <si>
    <t>Tabiques sanitarios de  Hº Aº</t>
  </si>
  <si>
    <t>4.3</t>
  </si>
  <si>
    <t>Aislaciones</t>
  </si>
  <si>
    <t>4.3.1</t>
  </si>
  <si>
    <t>Capa Aisladora Horizontal y Vertical</t>
  </si>
  <si>
    <t>4.4</t>
  </si>
  <si>
    <t>Revoques</t>
  </si>
  <si>
    <t>4.4.1</t>
  </si>
  <si>
    <t>Jaharro a la cal  interior y exterior</t>
  </si>
  <si>
    <t>4.4.2</t>
  </si>
  <si>
    <t>Jaharro bajo revestimiento</t>
  </si>
  <si>
    <t>4.4.3</t>
  </si>
  <si>
    <t>Enlucidos</t>
  </si>
  <si>
    <t>4.5</t>
  </si>
  <si>
    <t>Contrapisos</t>
  </si>
  <si>
    <t>4.5.1</t>
  </si>
  <si>
    <t>De hormigón</t>
  </si>
  <si>
    <t>5.1</t>
  </si>
  <si>
    <t>Cerámico 0,20 x 0,20</t>
  </si>
  <si>
    <t>5.2</t>
  </si>
  <si>
    <t>Antepechos</t>
  </si>
  <si>
    <t>PISOS Y ZÓCALOS</t>
  </si>
  <si>
    <t>6.1</t>
  </si>
  <si>
    <t>Interiores</t>
  </si>
  <si>
    <t>6.1.1</t>
  </si>
  <si>
    <t>Pisos de Mosaico Granítico 30 x 30</t>
  </si>
  <si>
    <t>6.1.2</t>
  </si>
  <si>
    <t>Pisos de Mosaico Granítico 15 x 15</t>
  </si>
  <si>
    <t>6.1.3</t>
  </si>
  <si>
    <t>Zócalos Graníticos</t>
  </si>
  <si>
    <t>6.1.4</t>
  </si>
  <si>
    <t>Umbrales y Solías</t>
  </si>
  <si>
    <t>6.2</t>
  </si>
  <si>
    <t>Exteriores</t>
  </si>
  <si>
    <t>6.2.1</t>
  </si>
  <si>
    <t>De H° Fratasado</t>
  </si>
  <si>
    <t>6.2.2</t>
  </si>
  <si>
    <t>Zócalos rehundido</t>
  </si>
  <si>
    <t>MARMOLERÍA</t>
  </si>
  <si>
    <t>7.1</t>
  </si>
  <si>
    <t>Mesadas y placas de granito natural</t>
  </si>
  <si>
    <t>7.2</t>
  </si>
  <si>
    <t>Separadores de granito natural</t>
  </si>
  <si>
    <t>CUBIERTAS Y TECHOS</t>
  </si>
  <si>
    <t>8.1</t>
  </si>
  <si>
    <t>Cubierta de Techo sobre losa de Hº</t>
  </si>
  <si>
    <t>CIELORRASOS</t>
  </si>
  <si>
    <t>9.1</t>
  </si>
  <si>
    <t>Aplicados</t>
  </si>
  <si>
    <t>9.1.1</t>
  </si>
  <si>
    <t>A la cal</t>
  </si>
  <si>
    <t>CARPINTERÍA</t>
  </si>
  <si>
    <t>10.1</t>
  </si>
  <si>
    <t>Chapa doblada y herrería</t>
  </si>
  <si>
    <t>11.1</t>
  </si>
  <si>
    <t>Media tensión</t>
  </si>
  <si>
    <t>11.2</t>
  </si>
  <si>
    <t>Artefactos</t>
  </si>
  <si>
    <t>INSTALACIÓN  SANITARIA</t>
  </si>
  <si>
    <t>12.1</t>
  </si>
  <si>
    <t>Inst. base cloacal, caños, cámaras</t>
  </si>
  <si>
    <t>12.2</t>
  </si>
  <si>
    <t>Ventilación</t>
  </si>
  <si>
    <t>12.3</t>
  </si>
  <si>
    <t>Dispositivos de tratamiento, cámara séptica y otros</t>
  </si>
  <si>
    <t>12.4</t>
  </si>
  <si>
    <t>Cañería distribución agua fría-caliente</t>
  </si>
  <si>
    <t>12.5</t>
  </si>
  <si>
    <t>Tanque de reserva</t>
  </si>
  <si>
    <t>12.6</t>
  </si>
  <si>
    <t>Artefactos sanitarios y grifería</t>
  </si>
  <si>
    <t>12.7</t>
  </si>
  <si>
    <t>Cañería de desagüe pluvial</t>
  </si>
  <si>
    <t>INSTALACIÓN GAS</t>
  </si>
  <si>
    <t>13.1</t>
  </si>
  <si>
    <t>Tendido de cañería</t>
  </si>
  <si>
    <t>13.2</t>
  </si>
  <si>
    <t>Regulador y medidores</t>
  </si>
  <si>
    <t>13.3</t>
  </si>
  <si>
    <t>Rejillas de ventilación, conductos</t>
  </si>
  <si>
    <t>13.4</t>
  </si>
  <si>
    <t>13.5</t>
  </si>
  <si>
    <t>Garrafas de 45 Kg</t>
  </si>
  <si>
    <t>CALEFACCIÓN</t>
  </si>
  <si>
    <t>14.1</t>
  </si>
  <si>
    <t>INSTALACIÓN  DE SEGURIDAD</t>
  </si>
  <si>
    <t>15.1</t>
  </si>
  <si>
    <t>Contra Incendio</t>
  </si>
  <si>
    <t>15.1.1</t>
  </si>
  <si>
    <t>Matafuegos, carteles de señalización</t>
  </si>
  <si>
    <t>CRISTALES, ESPEJOS Y VIDRIOS</t>
  </si>
  <si>
    <t>16.1</t>
  </si>
  <si>
    <t>Vidrios laminado de seguridad 3+3</t>
  </si>
  <si>
    <t>16.2</t>
  </si>
  <si>
    <t>Espejos</t>
  </si>
  <si>
    <t>17.1</t>
  </si>
  <si>
    <t>Pinturas al látex en Muros interiores</t>
  </si>
  <si>
    <t>17.2</t>
  </si>
  <si>
    <t>Pinturas al látex  exteriores</t>
  </si>
  <si>
    <t>17.3</t>
  </si>
  <si>
    <t>Pintura al látex en cielorrasos</t>
  </si>
  <si>
    <t>17.4</t>
  </si>
  <si>
    <t>Pintura esmalte sintético en Carpintería</t>
  </si>
  <si>
    <t>SEÑALETICA</t>
  </si>
  <si>
    <t>18.1</t>
  </si>
  <si>
    <t>Señalización</t>
  </si>
  <si>
    <t>OBRAS EXTERIORES</t>
  </si>
  <si>
    <t>19.1</t>
  </si>
  <si>
    <t>Cercos perimetrales</t>
  </si>
  <si>
    <t>LIMPIEZA DE OBRA</t>
  </si>
  <si>
    <t>20.1</t>
  </si>
  <si>
    <t>Limpieza de obra periódica y final</t>
  </si>
  <si>
    <t>VARIOS</t>
  </si>
  <si>
    <t>21.1</t>
  </si>
  <si>
    <t>Fichas complementarias</t>
  </si>
  <si>
    <t>1</t>
  </si>
  <si>
    <t>RUBRO: TRABAJOS PREPARATORIOS</t>
  </si>
  <si>
    <t>Preparación y limpieza de los terrenos, Cierre y demoliciones</t>
  </si>
  <si>
    <t>2</t>
  </si>
  <si>
    <t>RUBRO: MOVIMIENTO DE SUELOS</t>
  </si>
  <si>
    <t/>
  </si>
  <si>
    <t>Relleno y compactación</t>
  </si>
  <si>
    <t>3</t>
  </si>
  <si>
    <t>RUBRO: ESTRUCTURA RESISTENTE</t>
  </si>
  <si>
    <t>3,1,1</t>
  </si>
  <si>
    <t>3,1,2</t>
  </si>
  <si>
    <t>Hormigones de Sobrecimientos de 0,20esp</t>
  </si>
  <si>
    <t>3,1,3</t>
  </si>
  <si>
    <t>Hormigones de Cimientos</t>
  </si>
  <si>
    <t>3,1,4</t>
  </si>
  <si>
    <t>Hormigones para zaptas, bases y vigas de fundación</t>
  </si>
  <si>
    <t>3,1,5</t>
  </si>
  <si>
    <t>3,1,6</t>
  </si>
  <si>
    <t>3,1,7</t>
  </si>
  <si>
    <t xml:space="preserve">m3 </t>
  </si>
  <si>
    <t>3,1,9</t>
  </si>
  <si>
    <t>Hormigones para vigas de encadenado y dintel</t>
  </si>
  <si>
    <t>3,1,10</t>
  </si>
  <si>
    <t>Losa Ceramicas</t>
  </si>
  <si>
    <t>3,1,13</t>
  </si>
  <si>
    <t>Hormigon armado para contrapiso</t>
  </si>
  <si>
    <t>Cubierta y estructura metálica</t>
  </si>
  <si>
    <t>3,2,1</t>
  </si>
  <si>
    <t>Cubierta de Techo sobre losa ceramica</t>
  </si>
  <si>
    <t>3,2,2</t>
  </si>
  <si>
    <t>Cubierta de paneles metálicos con aislación de 14cm</t>
  </si>
  <si>
    <t>Estructura de metálica</t>
  </si>
  <si>
    <t>3,3,1</t>
  </si>
  <si>
    <t>4</t>
  </si>
  <si>
    <t>RUBRO: ALBAÑILERÍA</t>
  </si>
  <si>
    <t>4,1,1</t>
  </si>
  <si>
    <t>5</t>
  </si>
  <si>
    <t>RUBRO: REVESTIMIENTOS</t>
  </si>
  <si>
    <t>Revestimiento Cerámico en Baños</t>
  </si>
  <si>
    <t>Antepechos de hormigón</t>
  </si>
  <si>
    <t>6</t>
  </si>
  <si>
    <t>RUBRO: PISOS ZOCALOS UMBRALES Y SOLIAS</t>
  </si>
  <si>
    <t>Piso de mosaico granítico de 0,15 x 0,15 m</t>
  </si>
  <si>
    <t>6.4</t>
  </si>
  <si>
    <t>Veredin Perimetral</t>
  </si>
  <si>
    <t>8</t>
  </si>
  <si>
    <t>RUBRO: CARPINTERIA</t>
  </si>
  <si>
    <t>Carpinteria metálica</t>
  </si>
  <si>
    <t>9</t>
  </si>
  <si>
    <t>RUBRO: PINTURAS</t>
  </si>
  <si>
    <t>Pinturas al látex en muros interiores y exterior</t>
  </si>
  <si>
    <t>9.3</t>
  </si>
  <si>
    <t>Pintura en carpinterias</t>
  </si>
  <si>
    <t>10</t>
  </si>
  <si>
    <t>RUBRO: INSTALACIÓN</t>
  </si>
  <si>
    <t>Instalaciones Sanitarias</t>
  </si>
  <si>
    <t>10.2</t>
  </si>
  <si>
    <t>Instalaciones Electricas</t>
  </si>
  <si>
    <t>10.4</t>
  </si>
  <si>
    <t>Instalaciones Servicio Contra Incendio</t>
  </si>
  <si>
    <t>RUBRO: LIMPIEZA DE OBRA</t>
  </si>
  <si>
    <t>LIMPIEZA DE TERRENO Y ERRADICACIÓN DE ARBOLES</t>
  </si>
  <si>
    <t>Gl</t>
  </si>
  <si>
    <t>NIVELACIÓN, RELLENO Y COMPACTACIÓN</t>
  </si>
  <si>
    <t>REPLANTEO</t>
  </si>
  <si>
    <t>EXCAVACIONES PARA BASES, ZAPATAS Y VIGAS V.A.</t>
  </si>
  <si>
    <t>HORMIGONES SIMPLES</t>
  </si>
  <si>
    <t>6.1.</t>
  </si>
  <si>
    <t>Hormigón para Cimientos</t>
  </si>
  <si>
    <t>6.2.</t>
  </si>
  <si>
    <t>Hormigón de Limpieza</t>
  </si>
  <si>
    <t>6.3.</t>
  </si>
  <si>
    <t>Comtrapisos espesor 0.05m</t>
  </si>
  <si>
    <t>HORMIGÓN ARMADO</t>
  </si>
  <si>
    <t>7.1.</t>
  </si>
  <si>
    <t xml:space="preserve">Bases </t>
  </si>
  <si>
    <t>7.2.</t>
  </si>
  <si>
    <t>Vigas VA</t>
  </si>
  <si>
    <t>Vigas VF</t>
  </si>
  <si>
    <t>7.3.</t>
  </si>
  <si>
    <t>Vigas VE y VD</t>
  </si>
  <si>
    <t>7.4.</t>
  </si>
  <si>
    <t>Vigas de Carga</t>
  </si>
  <si>
    <t>7.5.</t>
  </si>
  <si>
    <t>Columnas CE</t>
  </si>
  <si>
    <t>7.6.</t>
  </si>
  <si>
    <t>Columnas de Carga</t>
  </si>
  <si>
    <t>7.7.</t>
  </si>
  <si>
    <t>Losas Armadas</t>
  </si>
  <si>
    <t>7.8.</t>
  </si>
  <si>
    <t>Contrapiso Armado</t>
  </si>
  <si>
    <t>CAPA AISLADORA HORIZONTAL</t>
  </si>
  <si>
    <t>MAMPOSTERÍAS</t>
  </si>
  <si>
    <t>9.1.</t>
  </si>
  <si>
    <t>Espesor 0,20 m, Ladrillón armado</t>
  </si>
  <si>
    <t>9.2.</t>
  </si>
  <si>
    <t>Espesor 0,15 m, Ladrillo Común armado</t>
  </si>
  <si>
    <t>TABIQUES DE GRANITO NATURAL EN BAÑOS</t>
  </si>
  <si>
    <t>PISOS</t>
  </si>
  <si>
    <t>11.1.</t>
  </si>
  <si>
    <t>Interiores granítico 30 x 30 cm</t>
  </si>
  <si>
    <t>11.2.</t>
  </si>
  <si>
    <t>Interiores granítico 20 x 20 cm</t>
  </si>
  <si>
    <t>11.3.</t>
  </si>
  <si>
    <t>Exteriores de H° Rodillado</t>
  </si>
  <si>
    <t>11.4.</t>
  </si>
  <si>
    <t>Exteriores de Baldosas de Grancilla c/contrapiso</t>
  </si>
  <si>
    <t>ZÓCALOS</t>
  </si>
  <si>
    <t>12.1.</t>
  </si>
  <si>
    <t>m</t>
  </si>
  <si>
    <t>12.2.</t>
  </si>
  <si>
    <t>Exteriores de Concreto sobre relieve esp. 3 cm</t>
  </si>
  <si>
    <t xml:space="preserve">ANTEPECHOS DE CONCRETO </t>
  </si>
  <si>
    <t>UMBRALES GRANÍTICOS</t>
  </si>
  <si>
    <t>CUBIERTAS DE TECHO</t>
  </si>
  <si>
    <t>16.1.</t>
  </si>
  <si>
    <t>Nuevas con Teja portuguesa</t>
  </si>
  <si>
    <t>16.2.</t>
  </si>
  <si>
    <t>Nuevas planas horizontales</t>
  </si>
  <si>
    <t>16.3.</t>
  </si>
  <si>
    <t>Existentes a Reparar</t>
  </si>
  <si>
    <t>17.1.</t>
  </si>
  <si>
    <t xml:space="preserve">Jaharro Común </t>
  </si>
  <si>
    <t>17.2.</t>
  </si>
  <si>
    <t>Jaharro bajo revestimientos</t>
  </si>
  <si>
    <t>17.3.</t>
  </si>
  <si>
    <t>Enlucido</t>
  </si>
  <si>
    <t xml:space="preserve">JUNTAS DE DILATACIÓN </t>
  </si>
  <si>
    <t>18.1.</t>
  </si>
  <si>
    <t>En techos, cielorrasos y muros</t>
  </si>
  <si>
    <t>18.2.</t>
  </si>
  <si>
    <t>En pisos exteriores</t>
  </si>
  <si>
    <t>CARPINTERÍAS</t>
  </si>
  <si>
    <t>19.1.</t>
  </si>
  <si>
    <t>Metálicas (Puertas, Ventanas, y Lucarnas)</t>
  </si>
  <si>
    <t>19.2.</t>
  </si>
  <si>
    <t>Rejas en Puertas y Ventanas nuevas y existentes.</t>
  </si>
  <si>
    <t>19.3.</t>
  </si>
  <si>
    <t>armarios de madera</t>
  </si>
  <si>
    <t>20.1.</t>
  </si>
  <si>
    <t>En Muros</t>
  </si>
  <si>
    <t>20.2.</t>
  </si>
  <si>
    <t>En Cielorrasos</t>
  </si>
  <si>
    <t>20.3.</t>
  </si>
  <si>
    <t>En Carpinterías y Rejas</t>
  </si>
  <si>
    <t>VIDRIOS Y ESPEJOS</t>
  </si>
  <si>
    <t>22.1.</t>
  </si>
  <si>
    <t>Cerámicos en muros</t>
  </si>
  <si>
    <t>22.2.</t>
  </si>
  <si>
    <t>De Iggam Color, fratazado</t>
  </si>
  <si>
    <t>MESADA</t>
  </si>
  <si>
    <t>TRASLADAR PORTÓN EXISTENTE (DEMOL., AMURADO, REPARACIONES DE ALBAÑILERÍA Y PORTÓN, INCLUYE PINTURA</t>
  </si>
  <si>
    <t xml:space="preserve">PÉRGOLAS </t>
  </si>
  <si>
    <t>ESCENARIO, MÁSTIL Y CANTEROS</t>
  </si>
  <si>
    <t>JUEGOS METÁLICOS</t>
  </si>
  <si>
    <t>PARQUIZACIÓN</t>
  </si>
  <si>
    <t xml:space="preserve">TORRE PARA TANQUES DE RESERVA </t>
  </si>
  <si>
    <t>SERVICIO CONTRA INCENDIO</t>
  </si>
  <si>
    <t xml:space="preserve">INSTALACIÓN DE GAS </t>
  </si>
  <si>
    <t>OBRAS TEMPORARIAS, DEFINITIVAS Y AYUDAS</t>
  </si>
  <si>
    <t>01.01.</t>
  </si>
  <si>
    <t>Obrador</t>
  </si>
  <si>
    <t>01.02.</t>
  </si>
  <si>
    <t>Cerco de Obra</t>
  </si>
  <si>
    <t>01.03.</t>
  </si>
  <si>
    <t>Energía eléctrica de Obra</t>
  </si>
  <si>
    <t>01.04.</t>
  </si>
  <si>
    <t>Agua de Construcción</t>
  </si>
  <si>
    <t>01.05.</t>
  </si>
  <si>
    <t>Cartel de Obra</t>
  </si>
  <si>
    <t>01.06.</t>
  </si>
  <si>
    <t>Limpieza de obra</t>
  </si>
  <si>
    <t>DEMOLICIÓN, DESMONTE Y MOVIMIENTO DE SUELOS</t>
  </si>
  <si>
    <t>02.01.</t>
  </si>
  <si>
    <t>Demolición y desmonte según plano A0</t>
  </si>
  <si>
    <t>02.02.</t>
  </si>
  <si>
    <t>Limpieza del terreno</t>
  </si>
  <si>
    <t>02.03.</t>
  </si>
  <si>
    <t>Relleno y Compactación</t>
  </si>
  <si>
    <t>EMPLAZAMIENTO</t>
  </si>
  <si>
    <t>03.01.</t>
  </si>
  <si>
    <t>Replanteo y nivelación</t>
  </si>
  <si>
    <t>03.02.</t>
  </si>
  <si>
    <t>Excavación para fundaciones</t>
  </si>
  <si>
    <t>HORMIGÓN</t>
  </si>
  <si>
    <t>04.01.</t>
  </si>
  <si>
    <t>Estructura Resistente de Hormigón Armado</t>
  </si>
  <si>
    <t>04.01.01.</t>
  </si>
  <si>
    <t>Hormigón de Limpieza ( e= 5 cm)</t>
  </si>
  <si>
    <t>04.01.02.</t>
  </si>
  <si>
    <t>Cimientos</t>
  </si>
  <si>
    <t>04.01.03.</t>
  </si>
  <si>
    <t>Bases</t>
  </si>
  <si>
    <t>04.01.04.</t>
  </si>
  <si>
    <t>Vigas de Arriostramiento</t>
  </si>
  <si>
    <t>04.01.05.</t>
  </si>
  <si>
    <t>Vigas de Fundación</t>
  </si>
  <si>
    <t>04.01.06.</t>
  </si>
  <si>
    <t>Vigas de carga</t>
  </si>
  <si>
    <t>04.01.07.</t>
  </si>
  <si>
    <t>Vigas de encadenado</t>
  </si>
  <si>
    <t>04.01.08.</t>
  </si>
  <si>
    <t>Columnas de carga</t>
  </si>
  <si>
    <t>04.01.09.</t>
  </si>
  <si>
    <t>Columnas de encadenado</t>
  </si>
  <si>
    <t>04.01.10.</t>
  </si>
  <si>
    <t>Losas Pretensadas</t>
  </si>
  <si>
    <t>04.02.</t>
  </si>
  <si>
    <t>04.02.01.</t>
  </si>
  <si>
    <t>Contrapiso de Hormigón Armado esp. 0,15m.</t>
  </si>
  <si>
    <t>04.03.</t>
  </si>
  <si>
    <t>04.03.01.</t>
  </si>
  <si>
    <t>Antepechos de Hormigón</t>
  </si>
  <si>
    <t>ESTRUCTURAS METÁLICAS</t>
  </si>
  <si>
    <t>05.01.</t>
  </si>
  <si>
    <t>Entrepiso Metálico Sala de Bombas (Según AR-29)</t>
  </si>
  <si>
    <t>05.02.</t>
  </si>
  <si>
    <t>Pérgola Metálica en Accesos</t>
  </si>
  <si>
    <t>ALBAÑILERÍAS</t>
  </si>
  <si>
    <t>06.01.</t>
  </si>
  <si>
    <t>Mamposterías</t>
  </si>
  <si>
    <t>06.01.01.</t>
  </si>
  <si>
    <t>Mampostería de ladrillón macizos esp. 0,20m.</t>
  </si>
  <si>
    <t>06.01.02.</t>
  </si>
  <si>
    <t>Mampostería de ladrillón macizos esp. 0,30m.</t>
  </si>
  <si>
    <t>06.02.</t>
  </si>
  <si>
    <t>Capas Aisladoras</t>
  </si>
  <si>
    <t>06.02.01.</t>
  </si>
  <si>
    <t>Capa aisladora horizontal y vertical doble</t>
  </si>
  <si>
    <t>06.03.</t>
  </si>
  <si>
    <t>Cubiertas</t>
  </si>
  <si>
    <t>06.03.01.</t>
  </si>
  <si>
    <t>Cubierta de techo sobre losa de H° pretensadas según plano E- 02</t>
  </si>
  <si>
    <t>REVOQUES, REVESTIMIENTOS, YESERÍA</t>
  </si>
  <si>
    <t>07.01.</t>
  </si>
  <si>
    <t>07.01.01.</t>
  </si>
  <si>
    <t>Revoque grueso fratasado</t>
  </si>
  <si>
    <t>07.01.02.</t>
  </si>
  <si>
    <t>Revoque grueso fratasado en construcción existente</t>
  </si>
  <si>
    <t>07.01.03</t>
  </si>
  <si>
    <t>Revoque fino a la cal</t>
  </si>
  <si>
    <t>07.01.04.</t>
  </si>
  <si>
    <t>Revoque plástico exterior Tipo Revear símil piedra</t>
  </si>
  <si>
    <t>07.01.05.</t>
  </si>
  <si>
    <t>Revoque plástico exterior Tipo Revear símil piedra en construcción existente</t>
  </si>
  <si>
    <t>07.02.</t>
  </si>
  <si>
    <t>Revestimientos</t>
  </si>
  <si>
    <t>07.02.01.</t>
  </si>
  <si>
    <t>Cerámico blanco 20cm.x 20cm.</t>
  </si>
  <si>
    <t>08.01.</t>
  </si>
  <si>
    <t>Pisos</t>
  </si>
  <si>
    <t>08.01.01.</t>
  </si>
  <si>
    <t>Granítico Pulido 30x30</t>
  </si>
  <si>
    <t>08.01.02.</t>
  </si>
  <si>
    <t>Piso de H°A° llaneado en Sala de máquinas</t>
  </si>
  <si>
    <t>08.01.03.</t>
  </si>
  <si>
    <t>Piso de H° fratasado</t>
  </si>
  <si>
    <t>08.02.</t>
  </si>
  <si>
    <t>Zócalos</t>
  </si>
  <si>
    <t>08.02.01.</t>
  </si>
  <si>
    <t>Zócalo Granítico sanitario h.7cm.</t>
  </si>
  <si>
    <t>08.02.02.</t>
  </si>
  <si>
    <t>Zócalo Granítico sanitario h.7cm.en construcción existente.</t>
  </si>
  <si>
    <t>08.02.03.</t>
  </si>
  <si>
    <t>Zócalo de cemento h.20cm.</t>
  </si>
  <si>
    <t>08.02.04.</t>
  </si>
  <si>
    <t>Zócalo exterior rehundido h.10cm.</t>
  </si>
  <si>
    <t>09.01.</t>
  </si>
  <si>
    <t>Pinturas</t>
  </si>
  <si>
    <t>09.01.01.</t>
  </si>
  <si>
    <t>Látex satinado sobre tabiques y muros interiores</t>
  </si>
  <si>
    <t>09.01.02.</t>
  </si>
  <si>
    <t>Látex satinado sobre cielorrasos</t>
  </si>
  <si>
    <t>09.01.03.</t>
  </si>
  <si>
    <t>Pintura Epoxi sobre tabiques y muros interiores</t>
  </si>
  <si>
    <t>09.01.04.</t>
  </si>
  <si>
    <t>Pintura Epoxi sobre cielorrasos</t>
  </si>
  <si>
    <t>09.01.05.</t>
  </si>
  <si>
    <t>Látex satinado sobre tabiques y muros interiores en construcción existente</t>
  </si>
  <si>
    <t>09.01.06.</t>
  </si>
  <si>
    <t>Látex satinado sobre cielorrasos en construcción existente</t>
  </si>
  <si>
    <t>09.01.07.</t>
  </si>
  <si>
    <t>Látex acrílico sobre muros interiores en construcción existente</t>
  </si>
  <si>
    <t>09.01.08.</t>
  </si>
  <si>
    <t>Látex acrílico sobre cielorrasos en construcción existente</t>
  </si>
  <si>
    <t>CARPINTERÍAS Y VIDRIOS</t>
  </si>
  <si>
    <t>10.01.</t>
  </si>
  <si>
    <t>Carpinterías Metálicas y Herrería</t>
  </si>
  <si>
    <t>10.02.</t>
  </si>
  <si>
    <t>Carpinterías de Aluminio y Vidrios</t>
  </si>
  <si>
    <t>10.03.</t>
  </si>
  <si>
    <t>10.03.01.</t>
  </si>
  <si>
    <t>Espejos (según DS)</t>
  </si>
  <si>
    <t>TABIQUERÍA Y CIELORRASOS</t>
  </si>
  <si>
    <t>11.01.</t>
  </si>
  <si>
    <t>Tabiquería</t>
  </si>
  <si>
    <t>11.01.01</t>
  </si>
  <si>
    <t>Tabique de doble placa de roca de yeso junta tomada</t>
  </si>
  <si>
    <t>11.01.02</t>
  </si>
  <si>
    <t>Tabique de placa simple de roca de yeso junta tomada</t>
  </si>
  <si>
    <t>11.01.03</t>
  </si>
  <si>
    <t>Perfiles de PVC para encuentros sanitarios</t>
  </si>
  <si>
    <t>11.01.04</t>
  </si>
  <si>
    <t>Refuerzos tubos metálicos70x70mm en carpinterías según detalles</t>
  </si>
  <si>
    <t>11.02.</t>
  </si>
  <si>
    <t>Cielorrasos</t>
  </si>
  <si>
    <t>11.02.01.</t>
  </si>
  <si>
    <t>Cielorraso suspendido desmontable modular 60x60 cm</t>
  </si>
  <si>
    <t>11.02.03.</t>
  </si>
  <si>
    <t>Cielorraso suspendido junta tomada: Placa roca de yeso 12,5 mm.</t>
  </si>
  <si>
    <t>11.02.04.</t>
  </si>
  <si>
    <t>Aplicado a la cal</t>
  </si>
  <si>
    <t>12.01.01.</t>
  </si>
  <si>
    <t>Instalación base cloacal, caños, cámaras</t>
  </si>
  <si>
    <t>12.01.02.</t>
  </si>
  <si>
    <t>12.01.03.</t>
  </si>
  <si>
    <t>Dispositivos de tratamiento y otros</t>
  </si>
  <si>
    <t>12.01.04.</t>
  </si>
  <si>
    <t>12.01.05.</t>
  </si>
  <si>
    <t>Tanque de reserva y bombeo</t>
  </si>
  <si>
    <t>12.01.06.</t>
  </si>
  <si>
    <t>12.01.07.</t>
  </si>
  <si>
    <t>12.01.08.</t>
  </si>
  <si>
    <t>Red externa - Nexo de agua</t>
  </si>
  <si>
    <t>13.01.</t>
  </si>
  <si>
    <t>13.02.</t>
  </si>
  <si>
    <t>13.03.</t>
  </si>
  <si>
    <t>13.04.</t>
  </si>
  <si>
    <t>13.05.</t>
  </si>
  <si>
    <t>Tanque de GLP a granel</t>
  </si>
  <si>
    <t>INSTALACIÓN CONTRA INCENDIO</t>
  </si>
  <si>
    <t>14.01.</t>
  </si>
  <si>
    <t>14.01.02.</t>
  </si>
  <si>
    <t>Tendido de cañerías</t>
  </si>
  <si>
    <t>14.01.03.</t>
  </si>
  <si>
    <t>Hidrantes, bocas de impulsión</t>
  </si>
  <si>
    <t>14.01.04.</t>
  </si>
  <si>
    <t>14.01.05.</t>
  </si>
  <si>
    <t>Sistema de bombeo</t>
  </si>
  <si>
    <t>14.02.</t>
  </si>
  <si>
    <t>Alarmas técnicas</t>
  </si>
  <si>
    <t>AIRE ACONDICIONADO Y CÁMARAS</t>
  </si>
  <si>
    <t>15.01.</t>
  </si>
  <si>
    <t>Equipos Tipo Roof-Top</t>
  </si>
  <si>
    <t>15.02.</t>
  </si>
  <si>
    <t>Equipos para cámaras frías Tipo Roof-Top</t>
  </si>
  <si>
    <t>15.03.</t>
  </si>
  <si>
    <t>Conductos, filtros, difusores, extractores</t>
  </si>
  <si>
    <t>INSTALACIONES ELÉCTRICAS Y DE BAJA TENSIÓN</t>
  </si>
  <si>
    <t>16.01.</t>
  </si>
  <si>
    <t>Fuerza motriz</t>
  </si>
  <si>
    <t>16.02.</t>
  </si>
  <si>
    <t>16.03.</t>
  </si>
  <si>
    <t>Baja tensión</t>
  </si>
  <si>
    <t>16.04.</t>
  </si>
  <si>
    <t>Artefactos de iluminación</t>
  </si>
  <si>
    <t>17.01.</t>
  </si>
  <si>
    <t>Marmolería</t>
  </si>
  <si>
    <t>17.01.01.</t>
  </si>
  <si>
    <t>Mesadas granito gris mara esp. 2,5cm. c/ colocación, Según DS y PET</t>
  </si>
  <si>
    <t>17.01.02.</t>
  </si>
  <si>
    <t>Soportes para mesadas de granito</t>
  </si>
  <si>
    <t>17.02.</t>
  </si>
  <si>
    <t>Accesorios de baño</t>
  </si>
  <si>
    <t>17.02.01.</t>
  </si>
  <si>
    <t>Accesorios de baño según PET</t>
  </si>
  <si>
    <t>18.01.</t>
  </si>
  <si>
    <t>Muebles de laboratorio según DS y PET</t>
  </si>
  <si>
    <t>18.01.01.</t>
  </si>
  <si>
    <t>Mueble con puertas según DS y PET</t>
  </si>
  <si>
    <t>18.01.02.</t>
  </si>
  <si>
    <t>Mueble con cajones según DS y PET</t>
  </si>
  <si>
    <t>18.01.03.</t>
  </si>
  <si>
    <t>Alacenas con puertas según DS y PET</t>
  </si>
  <si>
    <t>18.01.04.</t>
  </si>
  <si>
    <t>Estantes colgantes según DS y PET</t>
  </si>
  <si>
    <t>18.01.05.</t>
  </si>
  <si>
    <t>Mueble vertical según DS y PET</t>
  </si>
  <si>
    <t>18.01.06.</t>
  </si>
  <si>
    <t>Lockers</t>
  </si>
  <si>
    <t>18.02.</t>
  </si>
  <si>
    <t>Mesadas de laboratorio según DS y PET</t>
  </si>
  <si>
    <t>18.02.01.</t>
  </si>
  <si>
    <t>Mesadas Antivibratorias según DS y PET</t>
  </si>
  <si>
    <t>18.02.02.</t>
  </si>
  <si>
    <t>Mesadas de Emplacado de Resina Fenólica Blanca según DS y PET</t>
  </si>
  <si>
    <t>18.02.03.</t>
  </si>
  <si>
    <t>Mesadas de Acero Inoxidable según DS y PET</t>
  </si>
  <si>
    <t>18.03.</t>
  </si>
  <si>
    <t>Piletones según DS y PET</t>
  </si>
  <si>
    <t>18.03.01.</t>
  </si>
  <si>
    <t>Piletones de Acero Inoxidable 60*40*24 según DS y PET</t>
  </si>
  <si>
    <t>18.03.02.</t>
  </si>
  <si>
    <t>Piletones de Acero Inoxidable 40*40*24 según DS y PET</t>
  </si>
  <si>
    <t>Limpieza de Terreno y Erradicación de arboles</t>
  </si>
  <si>
    <t xml:space="preserve"> Nivelación, Relleno y Compactación </t>
  </si>
  <si>
    <t xml:space="preserve">Replanteo </t>
  </si>
  <si>
    <t xml:space="preserve">Excavaciones </t>
  </si>
  <si>
    <t xml:space="preserve">Hormigón Simple  </t>
  </si>
  <si>
    <t xml:space="preserve">a)  Cimientos  </t>
  </si>
  <si>
    <t xml:space="preserve">b)  Hormigón de Limpieza  </t>
  </si>
  <si>
    <t xml:space="preserve">c)  Contrapiso de hormigón simple </t>
  </si>
  <si>
    <t xml:space="preserve">Hormigón Armado  </t>
  </si>
  <si>
    <t xml:space="preserve">a)  Zapatas </t>
  </si>
  <si>
    <t xml:space="preserve">b)  Bases </t>
  </si>
  <si>
    <t xml:space="preserve">c)  Vigas VA </t>
  </si>
  <si>
    <t xml:space="preserve">d)  Vigas VF </t>
  </si>
  <si>
    <t xml:space="preserve">e)  Vigas VE y VD </t>
  </si>
  <si>
    <t xml:space="preserve">f)  Vigas de Carga </t>
  </si>
  <si>
    <t xml:space="preserve">g)  Columnas CE </t>
  </si>
  <si>
    <t xml:space="preserve">h)  Columnas de Carga  </t>
  </si>
  <si>
    <t xml:space="preserve">i)  Contrapisos  Armados </t>
  </si>
  <si>
    <t xml:space="preserve">j)  Losas hormigón Armado </t>
  </si>
  <si>
    <t xml:space="preserve">Capa Aisladora Horizontal  </t>
  </si>
  <si>
    <t xml:space="preserve">Mampostería </t>
  </si>
  <si>
    <t xml:space="preserve">a)  Muro armado de Ladrillón e = 20cm </t>
  </si>
  <si>
    <t xml:space="preserve">b)  Muro armado de Ladrillo   e = 15cm </t>
  </si>
  <si>
    <t xml:space="preserve">Cubierta de Techo </t>
  </si>
  <si>
    <t xml:space="preserve">Revoques </t>
  </si>
  <si>
    <t xml:space="preserve">a)  Jaharro común </t>
  </si>
  <si>
    <t xml:space="preserve">b)  Jaharro bajo Revestimiento  </t>
  </si>
  <si>
    <t xml:space="preserve">c)  Enlucido </t>
  </si>
  <si>
    <t xml:space="preserve">d)  Revoque rústico cementicio tipo Iggam </t>
  </si>
  <si>
    <t xml:space="preserve">Revestimientos  </t>
  </si>
  <si>
    <t xml:space="preserve">Techo y Estructura Metálica  </t>
  </si>
  <si>
    <t xml:space="preserve">Tabiques </t>
  </si>
  <si>
    <t>a)  de placas roca de yeso  Durlock o calidad 
superior</t>
  </si>
  <si>
    <t xml:space="preserve">b)  de granito natural gris mara </t>
  </si>
  <si>
    <t xml:space="preserve">Cielorrasos  </t>
  </si>
  <si>
    <t xml:space="preserve">a)  Cielorraso suspendido de placas de roca 
de yeso ( Durlock o calidad superior) 
Desmontable ( 61x61 )cm </t>
  </si>
  <si>
    <t xml:space="preserve">b)  Cielorraso suspendido de placas de roca 
de yeso, resistente a la humedad, junta 
sellada. </t>
  </si>
  <si>
    <t xml:space="preserve">c)  Aplicado a la Cal  </t>
  </si>
  <si>
    <t xml:space="preserve">Escalera estructura de hormigón y 
revestimiento y zócalos de Granito natural 
Sierra chica.  </t>
  </si>
  <si>
    <t xml:space="preserve">Barandas y Pasamanos  </t>
  </si>
  <si>
    <t xml:space="preserve">Juntas de Dilatación </t>
  </si>
  <si>
    <t xml:space="preserve">Pisos </t>
  </si>
  <si>
    <t xml:space="preserve">a)  Granítico de 30 x 30cm </t>
  </si>
  <si>
    <t xml:space="preserve">b)  Granítico de 20 x 20cm  </t>
  </si>
  <si>
    <t xml:space="preserve">c)  Pavimento de Hormigón  </t>
  </si>
  <si>
    <t xml:space="preserve">d)  Piso Técnico </t>
  </si>
  <si>
    <t>e)  Baldosas de grancilla lavada de 60 x 60cm</t>
  </si>
  <si>
    <t xml:space="preserve">f)  Baldosas cerámicas de gres rústico para 
azoteas </t>
  </si>
  <si>
    <t xml:space="preserve">Zócalos </t>
  </si>
  <si>
    <t xml:space="preserve">a)  Granítico </t>
  </si>
  <si>
    <t xml:space="preserve">b)  De madera </t>
  </si>
  <si>
    <t xml:space="preserve">c)  Hormigón Visto  </t>
  </si>
  <si>
    <t xml:space="preserve">Antepechos de concreto </t>
  </si>
  <si>
    <t xml:space="preserve">Umbrales y Solias de Granito Natural  </t>
  </si>
  <si>
    <t xml:space="preserve">Carpintería </t>
  </si>
  <si>
    <t xml:space="preserve">a)  De Aluminio  </t>
  </si>
  <si>
    <t xml:space="preserve">b)  De chapa de acero </t>
  </si>
  <si>
    <t xml:space="preserve">c)  De Madera </t>
  </si>
  <si>
    <t xml:space="preserve">Parasoles de aluminio AEROSCREEN 
300 AS, de Hunter Douglas, o superior 
calidad. </t>
  </si>
  <si>
    <t xml:space="preserve">Mostradores de Recepción </t>
  </si>
  <si>
    <t>unidad</t>
  </si>
  <si>
    <t xml:space="preserve">Vidrios y Espejos </t>
  </si>
  <si>
    <t xml:space="preserve">a)  Vidrios de seguridad  </t>
  </si>
  <si>
    <t xml:space="preserve">b)  espejos </t>
  </si>
  <si>
    <t xml:space="preserve">Mesadas Granito Natural  </t>
  </si>
  <si>
    <t xml:space="preserve">Ascensor </t>
  </si>
  <si>
    <t xml:space="preserve">Pinturas   </t>
  </si>
  <si>
    <t xml:space="preserve">a)  Esmalte  sintético  satinado  para  muro
Interiores ( Alba Satinol o calidad superior) </t>
  </si>
  <si>
    <t xml:space="preserve">b)  Látex para Muros Exteriores </t>
  </si>
  <si>
    <t xml:space="preserve">c)  Látex para Cielorraso </t>
  </si>
  <si>
    <t xml:space="preserve">d)  Esmalte sintético en carpinterías  </t>
  </si>
  <si>
    <t xml:space="preserve">Señalética </t>
  </si>
  <si>
    <t xml:space="preserve">Carteles de puertas o tabiques 
indentificatorios de cada local  </t>
  </si>
  <si>
    <t xml:space="preserve">  Carteles orientadores suspendidos en 
circulaciones </t>
  </si>
  <si>
    <t xml:space="preserve">  Carteles indicadores de núcleo de 
ascensor, escaleras, sanitarios públicos </t>
  </si>
  <si>
    <t xml:space="preserve">  Carteles en espacios exteriores  </t>
  </si>
  <si>
    <t xml:space="preserve">  Carteles de fachada (con nombre de las 
reparticiones) </t>
  </si>
  <si>
    <t xml:space="preserve">  Señalización de seguridad </t>
  </si>
  <si>
    <t xml:space="preserve">Obras Exteriores  </t>
  </si>
  <si>
    <t xml:space="preserve">a)  Cordón de Hormigón Armado </t>
  </si>
  <si>
    <t xml:space="preserve">b)  Vereda municipal  </t>
  </si>
  <si>
    <t xml:space="preserve">Parquización </t>
  </si>
  <si>
    <t xml:space="preserve">Servicio Contra Incendios </t>
  </si>
  <si>
    <t xml:space="preserve">Instalación Sanitaria </t>
  </si>
  <si>
    <t xml:space="preserve">Instalación Eléctrica </t>
  </si>
  <si>
    <t xml:space="preserve">Instalación Termomecánica </t>
  </si>
  <si>
    <t xml:space="preserve">Limpieza Final de Obra </t>
  </si>
  <si>
    <t>Mamposterías  de ladrillón de 0,20 m</t>
  </si>
  <si>
    <t>Mamposterías  de ladrillón de 0,10 m</t>
  </si>
  <si>
    <t>Tanque Zepelín</t>
  </si>
  <si>
    <t>PROSAP</t>
  </si>
  <si>
    <t>DEFENSA CIVIL</t>
  </si>
  <si>
    <t>PLAN DE TRABAJO</t>
  </si>
  <si>
    <t>ANÁLISIS DE PRECIOS</t>
  </si>
  <si>
    <t>CÓMPUTO Y PRESUPUESTO</t>
  </si>
  <si>
    <t>DENOMINACION</t>
  </si>
  <si>
    <t>CANTIDA</t>
  </si>
  <si>
    <t>RECUENTO</t>
  </si>
  <si>
    <t>Pastina</t>
  </si>
  <si>
    <t>Z022</t>
  </si>
  <si>
    <t>Z023</t>
  </si>
  <si>
    <t>Z024</t>
  </si>
  <si>
    <t>Z025</t>
  </si>
  <si>
    <t>Z026</t>
  </si>
  <si>
    <t>Z027</t>
  </si>
  <si>
    <t>Z028</t>
  </si>
  <si>
    <t>Z029</t>
  </si>
  <si>
    <t>Z030</t>
  </si>
  <si>
    <t>Z031</t>
  </si>
  <si>
    <t>Z032</t>
  </si>
  <si>
    <t>Z033</t>
  </si>
  <si>
    <t>Z034</t>
  </si>
  <si>
    <t>Z035</t>
  </si>
  <si>
    <t>Z036</t>
  </si>
  <si>
    <t>Z037</t>
  </si>
  <si>
    <t>Z038</t>
  </si>
  <si>
    <t>Z039</t>
  </si>
  <si>
    <t>Z041</t>
  </si>
  <si>
    <t>Z042</t>
  </si>
  <si>
    <t>Z043</t>
  </si>
  <si>
    <t>Z044</t>
  </si>
  <si>
    <t>Z045</t>
  </si>
  <si>
    <t>Z046</t>
  </si>
  <si>
    <t>Z047</t>
  </si>
  <si>
    <t>Z048</t>
  </si>
  <si>
    <t>Z049</t>
  </si>
  <si>
    <t>Z050</t>
  </si>
  <si>
    <t>Z051</t>
  </si>
  <si>
    <t>Z052</t>
  </si>
  <si>
    <t>Z053</t>
  </si>
  <si>
    <t>Z054</t>
  </si>
  <si>
    <t>Z055</t>
  </si>
  <si>
    <t>Z056</t>
  </si>
  <si>
    <t>Z057</t>
  </si>
  <si>
    <t>Z058</t>
  </si>
  <si>
    <t>Z059</t>
  </si>
  <si>
    <t>Z060</t>
  </si>
  <si>
    <t>Z061</t>
  </si>
  <si>
    <t>Z062</t>
  </si>
  <si>
    <t>Z063</t>
  </si>
  <si>
    <t>Z064</t>
  </si>
  <si>
    <t>Z065</t>
  </si>
  <si>
    <t>Z066</t>
  </si>
  <si>
    <t>Z067</t>
  </si>
  <si>
    <t>Z068</t>
  </si>
  <si>
    <t>Z069</t>
  </si>
  <si>
    <t>Z070</t>
  </si>
  <si>
    <t>Z071</t>
  </si>
  <si>
    <t>Z072</t>
  </si>
  <si>
    <t>Z073</t>
  </si>
  <si>
    <t>Z074</t>
  </si>
  <si>
    <t>Z075</t>
  </si>
  <si>
    <t>Z076</t>
  </si>
  <si>
    <t>Z077</t>
  </si>
  <si>
    <t>Z078</t>
  </si>
  <si>
    <t>Z079</t>
  </si>
  <si>
    <t>Z080</t>
  </si>
  <si>
    <t>Z081</t>
  </si>
  <si>
    <t>Z082</t>
  </si>
  <si>
    <t>Z083</t>
  </si>
  <si>
    <t>Z084</t>
  </si>
  <si>
    <t>Z085</t>
  </si>
  <si>
    <t>Z086</t>
  </si>
  <si>
    <t>UOCRA</t>
  </si>
  <si>
    <t>ART</t>
  </si>
  <si>
    <t>IERIC</t>
  </si>
  <si>
    <t>CSS</t>
  </si>
  <si>
    <t>COS</t>
  </si>
  <si>
    <t>ROPA</t>
  </si>
  <si>
    <t>BASICO</t>
  </si>
  <si>
    <t>Feriado</t>
  </si>
  <si>
    <t>Asistencia</t>
  </si>
  <si>
    <t>Fondo Des.</t>
  </si>
  <si>
    <t>Cta. Sidica</t>
  </si>
  <si>
    <t>Seg. Vida</t>
  </si>
  <si>
    <t>FICS</t>
  </si>
  <si>
    <t>Imp. Fijo</t>
  </si>
  <si>
    <t>Imp. Var.</t>
  </si>
  <si>
    <t>AYUDANTE</t>
  </si>
  <si>
    <t>OFICIAL</t>
  </si>
  <si>
    <t>Seguro Vida</t>
  </si>
  <si>
    <t>Transporte a Obra</t>
  </si>
  <si>
    <t>Moto Compactador</t>
  </si>
  <si>
    <t>Hormigonera</t>
  </si>
  <si>
    <t>z004</t>
  </si>
  <si>
    <t>z002</t>
  </si>
  <si>
    <t>z003</t>
  </si>
  <si>
    <t>CANTIDAD</t>
  </si>
  <si>
    <t>Z007</t>
  </si>
  <si>
    <t>Z009</t>
  </si>
  <si>
    <t>DETALLE</t>
  </si>
  <si>
    <t>UNI.</t>
  </si>
  <si>
    <t>$ RUBRO</t>
  </si>
  <si>
    <t>Contenedores</t>
  </si>
  <si>
    <t>Retroexcavadora</t>
  </si>
  <si>
    <t>Capataz</t>
  </si>
  <si>
    <t>LISTADO DE MATERIALES ("MATMO")</t>
  </si>
  <si>
    <t>ORD.</t>
  </si>
  <si>
    <t>FECHA</t>
  </si>
  <si>
    <r>
      <t>m</t>
    </r>
    <r>
      <rPr>
        <sz val="10"/>
        <color indexed="8"/>
        <rFont val="Calibri"/>
        <family val="2"/>
      </rPr>
      <t>³</t>
    </r>
  </si>
  <si>
    <t>MATERIAL (ACCESORIOS)</t>
  </si>
  <si>
    <t>COE:</t>
  </si>
  <si>
    <t>Pegamento para porcelanato</t>
  </si>
  <si>
    <t>Ripio</t>
  </si>
  <si>
    <t>Piedra Bola</t>
  </si>
  <si>
    <r>
      <t>m</t>
    </r>
    <r>
      <rPr>
        <sz val="10"/>
        <color theme="1"/>
        <rFont val="Calibri"/>
        <family val="2"/>
      </rPr>
      <t>²</t>
    </r>
  </si>
  <si>
    <r>
      <t>m</t>
    </r>
    <r>
      <rPr>
        <sz val="10"/>
        <color theme="1"/>
        <rFont val="Calibri"/>
        <family val="2"/>
      </rPr>
      <t>³</t>
    </r>
  </si>
  <si>
    <t>Placa 9,5 mm</t>
  </si>
  <si>
    <t>Cinta Tramada</t>
  </si>
  <si>
    <t>Cantonera</t>
  </si>
  <si>
    <t>Perfil Z</t>
  </si>
  <si>
    <t>Yeso tipo Paris</t>
  </si>
  <si>
    <t>Perimetral</t>
  </si>
  <si>
    <t>Larguero</t>
  </si>
  <si>
    <t xml:space="preserve">un </t>
  </si>
  <si>
    <t>Perfiles Normales UPN</t>
  </si>
  <si>
    <t>Caño Normalizado</t>
  </si>
  <si>
    <t>Perfiles Conformados C</t>
  </si>
  <si>
    <t>Ladrillo común</t>
  </si>
  <si>
    <t>Ladrillon</t>
  </si>
  <si>
    <t>M401</t>
  </si>
  <si>
    <t>M402</t>
  </si>
  <si>
    <t>M403</t>
  </si>
  <si>
    <t>M404</t>
  </si>
  <si>
    <t>M405</t>
  </si>
  <si>
    <t>M406</t>
  </si>
  <si>
    <t>M407</t>
  </si>
  <si>
    <t>M408</t>
  </si>
  <si>
    <t>M409</t>
  </si>
  <si>
    <t>M410</t>
  </si>
  <si>
    <t>M411</t>
  </si>
  <si>
    <t>M412</t>
  </si>
  <si>
    <t>M413</t>
  </si>
  <si>
    <t>M414</t>
  </si>
  <si>
    <t>M415</t>
  </si>
  <si>
    <t>M416</t>
  </si>
  <si>
    <t>M417</t>
  </si>
  <si>
    <t>M418</t>
  </si>
  <si>
    <t>M419</t>
  </si>
  <si>
    <t>M420</t>
  </si>
  <si>
    <t>M421</t>
  </si>
  <si>
    <t>M422</t>
  </si>
  <si>
    <t>M423</t>
  </si>
  <si>
    <t>M424</t>
  </si>
  <si>
    <t>M425</t>
  </si>
  <si>
    <t>M426</t>
  </si>
  <si>
    <t>M427</t>
  </si>
  <si>
    <t>M428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</si>
  <si>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</si>
  <si>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</si>
  <si>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</si>
  <si>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</si>
  <si>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</si>
  <si>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</si>
  <si>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</si>
  <si>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</si>
  <si>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</si>
  <si>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</si>
  <si>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M439</t>
  </si>
  <si>
    <t>M440</t>
  </si>
  <si>
    <t>M441</t>
  </si>
  <si>
    <t>M442</t>
  </si>
  <si>
    <t>M443</t>
  </si>
  <si>
    <t>M444</t>
  </si>
  <si>
    <t>M445</t>
  </si>
  <si>
    <t>M446</t>
  </si>
  <si>
    <t>M447</t>
  </si>
  <si>
    <t>M448</t>
  </si>
  <si>
    <t>M449</t>
  </si>
  <si>
    <t>M450</t>
  </si>
  <si>
    <t>M451</t>
  </si>
  <si>
    <t>M452</t>
  </si>
  <si>
    <t>M453</t>
  </si>
  <si>
    <t>M454</t>
  </si>
  <si>
    <t>M455</t>
  </si>
  <si>
    <t>M456</t>
  </si>
  <si>
    <t>M457</t>
  </si>
  <si>
    <t>M458</t>
  </si>
  <si>
    <t>M459</t>
  </si>
  <si>
    <t>M460</t>
  </si>
  <si>
    <t>M461</t>
  </si>
  <si>
    <t>M462</t>
  </si>
  <si>
    <t>M463</t>
  </si>
  <si>
    <t>M464</t>
  </si>
  <si>
    <t>M465</t>
  </si>
  <si>
    <t>M466</t>
  </si>
  <si>
    <t>M467</t>
  </si>
  <si>
    <t>M468</t>
  </si>
  <si>
    <t>M469</t>
  </si>
  <si>
    <t>M470</t>
  </si>
  <si>
    <t>M471</t>
  </si>
  <si>
    <t>M472</t>
  </si>
  <si>
    <t>M473</t>
  </si>
  <si>
    <t>M474</t>
  </si>
  <si>
    <t>M475</t>
  </si>
  <si>
    <t>M476</t>
  </si>
  <si>
    <t>M477</t>
  </si>
  <si>
    <t>M478</t>
  </si>
  <si>
    <t>M479</t>
  </si>
  <si>
    <t>M480</t>
  </si>
  <si>
    <t>M481</t>
  </si>
  <si>
    <t>M482</t>
  </si>
  <si>
    <t>M483</t>
  </si>
  <si>
    <t>M484</t>
  </si>
  <si>
    <t>M485</t>
  </si>
  <si>
    <t>M486</t>
  </si>
  <si>
    <t>M487</t>
  </si>
  <si>
    <t>M488</t>
  </si>
  <si>
    <t>M489</t>
  </si>
  <si>
    <t>M490</t>
  </si>
  <si>
    <t>M491</t>
  </si>
  <si>
    <t>M492</t>
  </si>
  <si>
    <t>M493</t>
  </si>
  <si>
    <t>M494</t>
  </si>
  <si>
    <t>M495</t>
  </si>
  <si>
    <t>M496</t>
  </si>
  <si>
    <t>M497</t>
  </si>
  <si>
    <t>M498</t>
  </si>
  <si>
    <t>M499</t>
  </si>
  <si>
    <t>M500</t>
  </si>
  <si>
    <t>M501</t>
  </si>
  <si>
    <t>M502</t>
  </si>
  <si>
    <t>M503</t>
  </si>
  <si>
    <t>M504</t>
  </si>
  <si>
    <t>M505</t>
  </si>
  <si>
    <t>M506</t>
  </si>
  <si>
    <t>M507</t>
  </si>
  <si>
    <t>M508</t>
  </si>
  <si>
    <t>M509</t>
  </si>
  <si>
    <t>M510</t>
  </si>
  <si>
    <t>M511</t>
  </si>
  <si>
    <t>M512</t>
  </si>
  <si>
    <t>M513</t>
  </si>
  <si>
    <t>M514</t>
  </si>
  <si>
    <t>M515</t>
  </si>
  <si>
    <t>M516</t>
  </si>
  <si>
    <t>M517</t>
  </si>
  <si>
    <t>M518</t>
  </si>
  <si>
    <t>M519</t>
  </si>
  <si>
    <t>M520</t>
  </si>
  <si>
    <t>M521</t>
  </si>
  <si>
    <t>M522</t>
  </si>
  <si>
    <t>M523</t>
  </si>
  <si>
    <t>M524</t>
  </si>
  <si>
    <t>M525</t>
  </si>
  <si>
    <t>M526</t>
  </si>
  <si>
    <t>M527</t>
  </si>
  <si>
    <t>M528</t>
  </si>
  <si>
    <t>M529</t>
  </si>
  <si>
    <t>M530</t>
  </si>
  <si>
    <t>M531</t>
  </si>
  <si>
    <t>M532</t>
  </si>
  <si>
    <t>M533</t>
  </si>
  <si>
    <t>M534</t>
  </si>
  <si>
    <t>M535</t>
  </si>
  <si>
    <t>M536</t>
  </si>
  <si>
    <t>M537</t>
  </si>
  <si>
    <t>M538</t>
  </si>
  <si>
    <t>M539</t>
  </si>
  <si>
    <t>M540</t>
  </si>
  <si>
    <t>M541</t>
  </si>
  <si>
    <t>M542</t>
  </si>
  <si>
    <t>M543</t>
  </si>
  <si>
    <t>M544</t>
  </si>
  <si>
    <t>M545</t>
  </si>
  <si>
    <t>M546</t>
  </si>
  <si>
    <t>M547</t>
  </si>
  <si>
    <t>M548</t>
  </si>
  <si>
    <t>M549</t>
  </si>
  <si>
    <t>M550</t>
  </si>
  <si>
    <t>M551</t>
  </si>
  <si>
    <t>M552</t>
  </si>
  <si>
    <t>M553</t>
  </si>
  <si>
    <t>M554</t>
  </si>
  <si>
    <t>M555</t>
  </si>
  <si>
    <t>M556</t>
  </si>
  <si>
    <t>M557</t>
  </si>
  <si>
    <t>M558</t>
  </si>
  <si>
    <t>M559</t>
  </si>
  <si>
    <t>M560</t>
  </si>
  <si>
    <t>M561</t>
  </si>
  <si>
    <t>M562</t>
  </si>
  <si>
    <t>M563</t>
  </si>
  <si>
    <t>M564</t>
  </si>
  <si>
    <t>M565</t>
  </si>
  <si>
    <t>M566</t>
  </si>
  <si>
    <t>M567</t>
  </si>
  <si>
    <t>M568</t>
  </si>
  <si>
    <t>M569</t>
  </si>
  <si>
    <t>M570</t>
  </si>
  <si>
    <t>M571</t>
  </si>
  <si>
    <t>M572</t>
  </si>
  <si>
    <t>M573</t>
  </si>
  <si>
    <t>M574</t>
  </si>
  <si>
    <t>M575</t>
  </si>
  <si>
    <t>M576</t>
  </si>
  <si>
    <t>M577</t>
  </si>
  <si>
    <t>M578</t>
  </si>
  <si>
    <t>M579</t>
  </si>
  <si>
    <t>M580</t>
  </si>
  <si>
    <t>M581</t>
  </si>
  <si>
    <t>M582</t>
  </si>
  <si>
    <t>M583</t>
  </si>
  <si>
    <t>M584</t>
  </si>
  <si>
    <t>M585</t>
  </si>
  <si>
    <t>M586</t>
  </si>
  <si>
    <t>M587</t>
  </si>
  <si>
    <t>M588</t>
  </si>
  <si>
    <t>M589</t>
  </si>
  <si>
    <t>M590</t>
  </si>
  <si>
    <t>M591</t>
  </si>
  <si>
    <t>M592</t>
  </si>
  <si>
    <t>M593</t>
  </si>
  <si>
    <t>M594</t>
  </si>
  <si>
    <t>M595</t>
  </si>
  <si>
    <t>M596</t>
  </si>
  <si>
    <t>M597</t>
  </si>
  <si>
    <t>M598</t>
  </si>
  <si>
    <t>M599</t>
  </si>
  <si>
    <t>M600</t>
  </si>
  <si>
    <t>M601</t>
  </si>
  <si>
    <t>M602</t>
  </si>
  <si>
    <t>M603</t>
  </si>
  <si>
    <t>M604</t>
  </si>
  <si>
    <t>M605</t>
  </si>
  <si>
    <t>M606</t>
  </si>
  <si>
    <t>M607</t>
  </si>
  <si>
    <t>M608</t>
  </si>
  <si>
    <t>M609</t>
  </si>
  <si>
    <t>M610</t>
  </si>
  <si>
    <t>M611</t>
  </si>
  <si>
    <t>M612</t>
  </si>
  <si>
    <t>M613</t>
  </si>
  <si>
    <t>M614</t>
  </si>
  <si>
    <t>M615</t>
  </si>
  <si>
    <t>M616</t>
  </si>
  <si>
    <t>M617</t>
  </si>
  <si>
    <t>M618</t>
  </si>
  <si>
    <t>M619</t>
  </si>
  <si>
    <t>M620</t>
  </si>
  <si>
    <t>M621</t>
  </si>
  <si>
    <t>M622</t>
  </si>
  <si>
    <t>M623</t>
  </si>
  <si>
    <t>M624</t>
  </si>
  <si>
    <t>M625</t>
  </si>
  <si>
    <t>M626</t>
  </si>
  <si>
    <t>M627</t>
  </si>
  <si>
    <t>M628</t>
  </si>
  <si>
    <t>M629</t>
  </si>
  <si>
    <t>M630</t>
  </si>
  <si>
    <t>M631</t>
  </si>
  <si>
    <t>M632</t>
  </si>
  <si>
    <t>M633</t>
  </si>
  <si>
    <t>M634</t>
  </si>
  <si>
    <t>M635</t>
  </si>
  <si>
    <t>M636</t>
  </si>
  <si>
    <t>M637</t>
  </si>
  <si>
    <t>M638</t>
  </si>
  <si>
    <t>M639</t>
  </si>
  <si>
    <t>M640</t>
  </si>
  <si>
    <t>M641</t>
  </si>
  <si>
    <t>Fe x Kg</t>
  </si>
  <si>
    <t>MO Dir x un</t>
  </si>
  <si>
    <t>Encofrado x un</t>
  </si>
  <si>
    <t>Llenado x un</t>
  </si>
  <si>
    <t>RUB/ITEM</t>
  </si>
  <si>
    <t>$ PARCIAL</t>
  </si>
  <si>
    <t>Poliespuma 10 mm c/Aluminio</t>
  </si>
  <si>
    <t>Lana de Vidrio c/Aluminio 50 mm</t>
  </si>
  <si>
    <t>Janin Ailantes</t>
  </si>
  <si>
    <t>Alumetal</t>
  </si>
  <si>
    <t xml:space="preserve">Alumetal </t>
  </si>
  <si>
    <t>Alambre N° 14</t>
  </si>
  <si>
    <t>Alambre N° 17</t>
  </si>
  <si>
    <t>Clavos 2"</t>
  </si>
  <si>
    <t>Clavos 2 1/2"</t>
  </si>
  <si>
    <t>Perfiles C</t>
  </si>
  <si>
    <t>100*50*15*3,2</t>
  </si>
  <si>
    <t>120*50*15*3,2</t>
  </si>
  <si>
    <t>160*60*20*3,2</t>
  </si>
  <si>
    <t>Superfluidificante</t>
  </si>
  <si>
    <t>Encofrado</t>
  </si>
  <si>
    <t>TR001</t>
  </si>
  <si>
    <t>TR002</t>
  </si>
  <si>
    <t>TR003</t>
  </si>
  <si>
    <t>TR004</t>
  </si>
  <si>
    <t>TR005</t>
  </si>
  <si>
    <t>TR006</t>
  </si>
  <si>
    <t>TR007</t>
  </si>
  <si>
    <t>TR008</t>
  </si>
  <si>
    <t>TR009</t>
  </si>
  <si>
    <t>TR010</t>
  </si>
  <si>
    <t>TR011</t>
  </si>
  <si>
    <t>TR012</t>
  </si>
  <si>
    <t>TR013</t>
  </si>
  <si>
    <t>TR014</t>
  </si>
  <si>
    <t>TR015</t>
  </si>
  <si>
    <t>TR016</t>
  </si>
  <si>
    <t>TR017</t>
  </si>
  <si>
    <t>TR018</t>
  </si>
  <si>
    <t>TR019</t>
  </si>
  <si>
    <t>TR020</t>
  </si>
  <si>
    <t>TR021</t>
  </si>
  <si>
    <t>TR022</t>
  </si>
  <si>
    <t>TR023</t>
  </si>
  <si>
    <t>TR024</t>
  </si>
  <si>
    <t>TR025</t>
  </si>
  <si>
    <t>TR026</t>
  </si>
  <si>
    <t>TR027</t>
  </si>
  <si>
    <t>TR028</t>
  </si>
  <si>
    <t>TR029</t>
  </si>
  <si>
    <t>TR030</t>
  </si>
  <si>
    <t>TR031</t>
  </si>
  <si>
    <t>TR032</t>
  </si>
  <si>
    <t>TR033</t>
  </si>
  <si>
    <t>TR034</t>
  </si>
  <si>
    <t>TR035</t>
  </si>
  <si>
    <t>TR036</t>
  </si>
  <si>
    <t>TR037</t>
  </si>
  <si>
    <t>TR038</t>
  </si>
  <si>
    <t>TR039</t>
  </si>
  <si>
    <t>TR040</t>
  </si>
  <si>
    <t>TR041</t>
  </si>
  <si>
    <t>TR042</t>
  </si>
  <si>
    <t>TR043</t>
  </si>
  <si>
    <t>TR044</t>
  </si>
  <si>
    <t>TR045</t>
  </si>
  <si>
    <t>TR046</t>
  </si>
  <si>
    <t>TR047</t>
  </si>
  <si>
    <t>TR048</t>
  </si>
  <si>
    <t>TOTAL COSTOS INDIRECTOS</t>
  </si>
  <si>
    <t>Anticipo Financiero</t>
  </si>
  <si>
    <t>inspeccion</t>
  </si>
  <si>
    <t>Siniestro</t>
  </si>
  <si>
    <t>Incendio</t>
  </si>
  <si>
    <t xml:space="preserve">Fondo de Reparo                         5%  de cada certificacion </t>
  </si>
  <si>
    <t xml:space="preserve">Garantia de oferta                               1% </t>
  </si>
  <si>
    <t>7-SEGUROS</t>
  </si>
  <si>
    <t>Imp a las ganancias</t>
  </si>
  <si>
    <t>Iva Dif</t>
  </si>
  <si>
    <t>CC</t>
  </si>
  <si>
    <t>Ing Brutos</t>
  </si>
  <si>
    <t>7-COSTO IMPOSITIVO</t>
  </si>
  <si>
    <t>6-GASTOS FINANCIEROS</t>
  </si>
  <si>
    <t>Plan HyS</t>
  </si>
  <si>
    <t>Hys</t>
  </si>
  <si>
    <t>Telefonos celulares y fijos</t>
  </si>
  <si>
    <t>Papeleria e Impresos</t>
  </si>
  <si>
    <t>Alarma</t>
  </si>
  <si>
    <t>Energia</t>
  </si>
  <si>
    <t>Alquiler</t>
  </si>
  <si>
    <t>5-GASTOS ADMINISTRATIVOS</t>
  </si>
  <si>
    <t>Calculo estructuras</t>
  </si>
  <si>
    <t xml:space="preserve">Ensayos </t>
  </si>
  <si>
    <t>Planos obra</t>
  </si>
  <si>
    <t>Planos municipales</t>
  </si>
  <si>
    <t>Derechos y tasas</t>
  </si>
  <si>
    <t>Tramite municipal,etc</t>
  </si>
  <si>
    <t>4-TRAMITES Y HONORARIOS</t>
  </si>
  <si>
    <t>Fondo fijo (caja chica)</t>
  </si>
  <si>
    <t>Vigilancia</t>
  </si>
  <si>
    <t>Serenos</t>
  </si>
  <si>
    <t>Encargados</t>
  </si>
  <si>
    <t>Edgardo Chacon</t>
  </si>
  <si>
    <t>Carlos Balderramo</t>
  </si>
  <si>
    <t>Administrativos</t>
  </si>
  <si>
    <t>Daniel De CIlia</t>
  </si>
  <si>
    <t>Alejandro Repeto</t>
  </si>
  <si>
    <t>Tecnicos</t>
  </si>
  <si>
    <t>Ayudantes</t>
  </si>
  <si>
    <t>Jefe de obra</t>
  </si>
  <si>
    <t>3-CONDUCCION</t>
  </si>
  <si>
    <t>mantenimiento</t>
  </si>
  <si>
    <t>seguro</t>
  </si>
  <si>
    <t>Imp radicacion automotor</t>
  </si>
  <si>
    <t>Toyota Hilux  2008</t>
  </si>
  <si>
    <t>Citroën Berlingo 2010</t>
  </si>
  <si>
    <t>Ford Ranger 2010</t>
  </si>
  <si>
    <t>Peugeot 504 1993</t>
  </si>
  <si>
    <t>Amortizacion+Gastos Movilidad</t>
  </si>
  <si>
    <t>Transporte</t>
  </si>
  <si>
    <t>Alquiler de camionetas</t>
  </si>
  <si>
    <t>2-EQUIPO Y HERRAMIENTAS</t>
  </si>
  <si>
    <t xml:space="preserve">Ayudas extras </t>
  </si>
  <si>
    <t>Mano obra obrador</t>
  </si>
  <si>
    <t>Cartel obra</t>
  </si>
  <si>
    <t>Cerco obra</t>
  </si>
  <si>
    <t>Instalaciones</t>
  </si>
  <si>
    <t>Depositos</t>
  </si>
  <si>
    <t>Alojamiento</t>
  </si>
  <si>
    <t>1-OBRADOR</t>
  </si>
  <si>
    <t>Importe</t>
  </si>
  <si>
    <t>MESES</t>
  </si>
  <si>
    <t>MENSUALIDAD</t>
  </si>
  <si>
    <t xml:space="preserve">Meses de ejecución </t>
  </si>
  <si>
    <t>Presupuesto total</t>
  </si>
  <si>
    <t>Obra</t>
  </si>
  <si>
    <t xml:space="preserve">       </t>
  </si>
  <si>
    <t>Costos indirectos</t>
  </si>
  <si>
    <t>COSTO NETO</t>
  </si>
  <si>
    <t>GASTOS GENERALES % DE (A)</t>
  </si>
  <si>
    <t>A</t>
  </si>
  <si>
    <t>B</t>
  </si>
  <si>
    <t>C</t>
  </si>
  <si>
    <t>D</t>
  </si>
  <si>
    <t>E</t>
  </si>
  <si>
    <t>BENEFICIOS  % DE (C)</t>
  </si>
  <si>
    <t>IMPUESTOS % DE (E)</t>
  </si>
  <si>
    <t>F</t>
  </si>
  <si>
    <t>PRECIO TOTAL DE LA OBRA (E + F)</t>
  </si>
  <si>
    <t>SUBTOTAL (C + D)</t>
  </si>
  <si>
    <t>SUBTOTAL (A + B)</t>
  </si>
  <si>
    <t>Juan Manuel Delgado</t>
  </si>
  <si>
    <t>Puntales</t>
  </si>
  <si>
    <t>Placa Hueca Prear</t>
  </si>
  <si>
    <t>Andamios</t>
  </si>
  <si>
    <t>lts</t>
  </si>
  <si>
    <t>Velo Geo Textil</t>
  </si>
  <si>
    <t>Pintura Poliuretanica</t>
  </si>
  <si>
    <t>Nylon 200 mic</t>
  </si>
  <si>
    <t>Placa Cementicia 6mm</t>
  </si>
  <si>
    <t>Placa Cementicia 8mm</t>
  </si>
  <si>
    <t>Placa Cementicia 10mm</t>
  </si>
  <si>
    <t>Imep</t>
  </si>
  <si>
    <t>Sika</t>
  </si>
  <si>
    <t>Ferr. Fernandez</t>
  </si>
  <si>
    <t>Abraham Mendoza</t>
  </si>
  <si>
    <t>Pomeca Gruesa</t>
  </si>
  <si>
    <t>Pomeca Fina</t>
  </si>
  <si>
    <t>m²</t>
  </si>
  <si>
    <t>2 mts  Janin</t>
  </si>
  <si>
    <t>Junta de Aluminio 10*10</t>
  </si>
  <si>
    <t>Placa Roja</t>
  </si>
  <si>
    <t>Placa Verde</t>
  </si>
  <si>
    <t>Alambre Gal N° 14</t>
  </si>
  <si>
    <t>Granito Fimanatado Completo</t>
  </si>
  <si>
    <t>Granito Fimanatado Bandas</t>
  </si>
  <si>
    <t>Granito Gris Mara Pulido</t>
  </si>
  <si>
    <t>Baño Quimico</t>
  </si>
  <si>
    <t>m³</t>
  </si>
  <si>
    <t>Material de relleno</t>
  </si>
  <si>
    <t>Materiales Bajada</t>
  </si>
  <si>
    <t>Caño 70 x 70 x 2</t>
  </si>
  <si>
    <t>Contenedores Unidad</t>
  </si>
  <si>
    <t>Cumplimiento de contrato                              5%</t>
  </si>
  <si>
    <t>Mexpol 2 mm</t>
  </si>
  <si>
    <t>Chapa Conformada N° 22</t>
  </si>
  <si>
    <t>Pulido + 662 por ml de 2 cm}</t>
  </si>
  <si>
    <t>B. Vista</t>
  </si>
  <si>
    <t>S. Rivadavia</t>
  </si>
  <si>
    <t>FM</t>
  </si>
  <si>
    <t>TOTAL</t>
  </si>
  <si>
    <t>Descripción</t>
  </si>
  <si>
    <t>Cant Total</t>
  </si>
  <si>
    <t>Parciales</t>
  </si>
  <si>
    <t>$ unid</t>
  </si>
  <si>
    <t>$ TOTAL</t>
  </si>
  <si>
    <t>Instalación base cloacal y cámaras</t>
  </si>
  <si>
    <t>Codo 40</t>
  </si>
  <si>
    <t>u</t>
  </si>
  <si>
    <t>Codo 50</t>
  </si>
  <si>
    <t>Codo 63</t>
  </si>
  <si>
    <t>Codo 110</t>
  </si>
  <si>
    <t>Codo 110 c/ base</t>
  </si>
  <si>
    <t>Pileta Patio c/ reja</t>
  </si>
  <si>
    <t>Boca Acceso</t>
  </si>
  <si>
    <t>Ramal Y 110x110</t>
  </si>
  <si>
    <t>Accesorios conex. Inodoro</t>
  </si>
  <si>
    <t>Cámara inspección H°</t>
  </si>
  <si>
    <t>Accesorios cloacas</t>
  </si>
  <si>
    <t>Grampa Omega 110</t>
  </si>
  <si>
    <t>Sombrerete</t>
  </si>
  <si>
    <t>Cañería distribución agua fría y caliente</t>
  </si>
  <si>
    <t>Tubo fusión 20 x 4 mts.</t>
  </si>
  <si>
    <t>Tubo fusión 25 x 4 mts.</t>
  </si>
  <si>
    <t>Codo f/f 20</t>
  </si>
  <si>
    <t>Codo f/f 25</t>
  </si>
  <si>
    <t>Unión doble 20</t>
  </si>
  <si>
    <t>Unión doble 25</t>
  </si>
  <si>
    <t>Válvula esférica con Campana 20</t>
  </si>
  <si>
    <t>Válvula esférica con Campana 25</t>
  </si>
  <si>
    <t>Sellarrosca H3  125 cm3</t>
  </si>
  <si>
    <t>Accesorios agua</t>
  </si>
  <si>
    <t>Tanque reserva</t>
  </si>
  <si>
    <t>Tubo fusión 50 x 4 mts.</t>
  </si>
  <si>
    <t>Codo f/f 50</t>
  </si>
  <si>
    <t>Te f/f 50</t>
  </si>
  <si>
    <t>Válvula esférica 50</t>
  </si>
  <si>
    <t>Flotante 3/4" Media Presión</t>
  </si>
  <si>
    <t>Flotante automático</t>
  </si>
  <si>
    <t>Asiento inodoro plástico</t>
  </si>
  <si>
    <t>Depósito p/ inodoro</t>
  </si>
  <si>
    <t xml:space="preserve">Canilla FV pico manguera </t>
  </si>
  <si>
    <t>Cupla 110</t>
  </si>
  <si>
    <t>Cupla f/f 20</t>
  </si>
  <si>
    <t>Cupla f/f 25</t>
  </si>
  <si>
    <t>Codo hembra 20 x 1/2"</t>
  </si>
  <si>
    <t>Codo hembra 25 x 3/4"</t>
  </si>
  <si>
    <t>Válvula esférica sin Campana 20</t>
  </si>
  <si>
    <t>Válvula esférica sin Campana 25</t>
  </si>
  <si>
    <t>Buje reducción 50 a 32</t>
  </si>
  <si>
    <t>Buje reducción 32 a 20</t>
  </si>
  <si>
    <t>Buje reducción 32 a 25</t>
  </si>
  <si>
    <t>Tubo hembra 50 x 1 1/2"</t>
  </si>
  <si>
    <t>Conexión tanque 1 1/2"</t>
  </si>
  <si>
    <t>Tanque Poliet. Tricapa 850 lts.</t>
  </si>
  <si>
    <t>Tubo PVC 40</t>
  </si>
  <si>
    <t>Tubo PVC 50</t>
  </si>
  <si>
    <t>Tubo PVC 63</t>
  </si>
  <si>
    <t>Tubo PVC 110</t>
  </si>
  <si>
    <t>Tubo fusión 32 x 4 mts.</t>
  </si>
  <si>
    <t>Codo f/f 32</t>
  </si>
  <si>
    <t>Te f/f 32</t>
  </si>
  <si>
    <t>Válvula esférica 32</t>
  </si>
  <si>
    <t>Juego accesorios Ferrum</t>
  </si>
  <si>
    <t>Pileta A. Inox. Johnson Simple</t>
  </si>
  <si>
    <t>Grifería Lavatorio FV Kansas</t>
  </si>
  <si>
    <t>Grifería Bidet FV Kansas</t>
  </si>
  <si>
    <t>Grifería Cocina FV Kansas Monocomando</t>
  </si>
  <si>
    <t>Inodoro Ferrum Andina</t>
  </si>
  <si>
    <t>Bidet Ferrum Andina</t>
  </si>
  <si>
    <t>Lavatorio Ferrum Andina</t>
  </si>
  <si>
    <t>Columna Lavatorio Ferrum Andina</t>
  </si>
  <si>
    <t>Flexible cromo 1/2 x 40 cm.</t>
  </si>
  <si>
    <t>Embudo PVC 200 x 200</t>
  </si>
  <si>
    <t>Tubo macho 32 x 1"</t>
  </si>
  <si>
    <t>Instalación Gas Epoxi</t>
  </si>
  <si>
    <t>Tubo 1/2" x 6 mts.</t>
  </si>
  <si>
    <t>Tubo 3/4" x 6 mts.</t>
  </si>
  <si>
    <t>Tubo 1" x 6 mts.</t>
  </si>
  <si>
    <t>Codo HH 1/2"</t>
  </si>
  <si>
    <t>Codo HH 3/4"</t>
  </si>
  <si>
    <t>Codo HH 1"</t>
  </si>
  <si>
    <t>Cupla 1/2"</t>
  </si>
  <si>
    <t>Cupla 3/4"</t>
  </si>
  <si>
    <t>Cupla 1"</t>
  </si>
  <si>
    <t>Te 1/2"</t>
  </si>
  <si>
    <t>Te 3/4"</t>
  </si>
  <si>
    <t>Te 1"</t>
  </si>
  <si>
    <t>Llave 1/2"</t>
  </si>
  <si>
    <t>Llave 3/4"</t>
  </si>
  <si>
    <t>Llave 1"</t>
  </si>
  <si>
    <t>Regulador Baja presión</t>
  </si>
  <si>
    <t>Rejilla Ventilación Aprob. 20x20</t>
  </si>
  <si>
    <t>Gabinete cemento</t>
  </si>
  <si>
    <t>Bomba 3/4 HP GAMMA</t>
  </si>
  <si>
    <t>Mesada Granito Gris Mara</t>
  </si>
  <si>
    <t>Cloacas</t>
  </si>
  <si>
    <t>Pluvial</t>
  </si>
  <si>
    <t>Grifería Ducha FV Kansas</t>
  </si>
  <si>
    <t>Accesorios Sanit. y Grifería</t>
  </si>
  <si>
    <t>z021</t>
  </si>
  <si>
    <t>z022</t>
  </si>
  <si>
    <t>z023</t>
  </si>
  <si>
    <t>z024</t>
  </si>
  <si>
    <t>z025</t>
  </si>
  <si>
    <t>z026</t>
  </si>
  <si>
    <t>z027</t>
  </si>
  <si>
    <t>z028</t>
  </si>
  <si>
    <t>z029</t>
  </si>
  <si>
    <t>z030</t>
  </si>
  <si>
    <t>z031</t>
  </si>
  <si>
    <t>z032</t>
  </si>
  <si>
    <t>z034</t>
  </si>
  <si>
    <t>z033</t>
  </si>
  <si>
    <t>z035</t>
  </si>
  <si>
    <t>z036</t>
  </si>
  <si>
    <t>z037</t>
  </si>
  <si>
    <t>z038</t>
  </si>
  <si>
    <t>z039</t>
  </si>
  <si>
    <t>z040</t>
  </si>
  <si>
    <t>z041</t>
  </si>
  <si>
    <t>z042</t>
  </si>
  <si>
    <t>z043</t>
  </si>
  <si>
    <t>z044</t>
  </si>
  <si>
    <t>z045</t>
  </si>
  <si>
    <t>z046</t>
  </si>
  <si>
    <t>z047</t>
  </si>
  <si>
    <t>z048</t>
  </si>
  <si>
    <t>z049</t>
  </si>
  <si>
    <t>z050</t>
  </si>
  <si>
    <t>z051</t>
  </si>
  <si>
    <t>z052</t>
  </si>
  <si>
    <t>z053</t>
  </si>
  <si>
    <t>z054</t>
  </si>
  <si>
    <t>z055</t>
  </si>
  <si>
    <t>z056</t>
  </si>
  <si>
    <t>z057</t>
  </si>
  <si>
    <t>z058</t>
  </si>
  <si>
    <t>z059</t>
  </si>
  <si>
    <t>z060</t>
  </si>
  <si>
    <t>z061</t>
  </si>
  <si>
    <t>z062</t>
  </si>
  <si>
    <t>z063</t>
  </si>
  <si>
    <t>z064</t>
  </si>
  <si>
    <t>z066</t>
  </si>
  <si>
    <t>z067</t>
  </si>
  <si>
    <t>z069</t>
  </si>
  <si>
    <t>z071</t>
  </si>
  <si>
    <t>z072</t>
  </si>
  <si>
    <t>z073</t>
  </si>
  <si>
    <t>z074</t>
  </si>
  <si>
    <t>z075</t>
  </si>
  <si>
    <t>z076</t>
  </si>
  <si>
    <t>z077</t>
  </si>
  <si>
    <t>z078</t>
  </si>
  <si>
    <t>z079</t>
  </si>
  <si>
    <t>z080</t>
  </si>
  <si>
    <t>z086</t>
  </si>
  <si>
    <t>mts</t>
  </si>
  <si>
    <t>Ladrillo para vigueta</t>
  </si>
  <si>
    <t>Madera 1"</t>
  </si>
  <si>
    <t>Vega Iglesia</t>
  </si>
  <si>
    <t>Membrana 4 mm con aluminio</t>
  </si>
  <si>
    <t>z070</t>
  </si>
  <si>
    <t>z081</t>
  </si>
  <si>
    <t>z082</t>
  </si>
  <si>
    <t>z083</t>
  </si>
  <si>
    <t>Contador</t>
  </si>
  <si>
    <t>Coeficiente1</t>
  </si>
  <si>
    <t>Coeficiente 2</t>
  </si>
  <si>
    <t>Coeficiente 3</t>
  </si>
  <si>
    <t>z005</t>
  </si>
  <si>
    <t>z009</t>
  </si>
  <si>
    <t>z006</t>
  </si>
  <si>
    <t>z012</t>
  </si>
  <si>
    <t>z065</t>
  </si>
  <si>
    <t>z068</t>
  </si>
  <si>
    <t>z084</t>
  </si>
  <si>
    <t>z085</t>
  </si>
  <si>
    <t>TR049</t>
  </si>
  <si>
    <t>TR050</t>
  </si>
  <si>
    <t>TR051</t>
  </si>
  <si>
    <t>TR052</t>
  </si>
  <si>
    <t>TR053</t>
  </si>
  <si>
    <t>TR054</t>
  </si>
  <si>
    <t>TR055</t>
  </si>
  <si>
    <t>TR056</t>
  </si>
  <si>
    <t>TR057</t>
  </si>
  <si>
    <t>TR058</t>
  </si>
  <si>
    <t>TR059</t>
  </si>
  <si>
    <t>Melo</t>
  </si>
  <si>
    <t>100*100*2</t>
  </si>
  <si>
    <t>Expo Ceramico</t>
  </si>
  <si>
    <t xml:space="preserve">Alambre Gal 17/15 </t>
  </si>
  <si>
    <t>Torniquete</t>
  </si>
  <si>
    <t>Electrodo</t>
  </si>
  <si>
    <t>Pastina JB</t>
  </si>
  <si>
    <t>Blangino</t>
  </si>
  <si>
    <t>Arena</t>
  </si>
  <si>
    <t>Jorge Diaz</t>
  </si>
  <si>
    <t>Polietileno 200mmc</t>
  </si>
  <si>
    <t>H-8 Melo</t>
  </si>
  <si>
    <t>H-11 Melo</t>
  </si>
  <si>
    <t>H-13 Melo</t>
  </si>
  <si>
    <t>H-17 Melo</t>
  </si>
  <si>
    <t>H-21 Melo</t>
  </si>
  <si>
    <t>H-21/5 Melo</t>
  </si>
  <si>
    <t>Pulidora</t>
  </si>
  <si>
    <t>Baldosa 20x20 para vereda</t>
  </si>
  <si>
    <t>Cerámica Ilva 30*60</t>
  </si>
  <si>
    <t>TR060</t>
  </si>
  <si>
    <t>Fondo Operativo</t>
  </si>
  <si>
    <t>Elemntos a Proveer</t>
  </si>
  <si>
    <t>Tejuela para techo</t>
  </si>
  <si>
    <t>Hiperceramico</t>
  </si>
  <si>
    <t>Cubo</t>
  </si>
  <si>
    <t>Maroma x 4</t>
  </si>
  <si>
    <t>Calesita</t>
  </si>
  <si>
    <t>Escalera</t>
  </si>
  <si>
    <t xml:space="preserve">Columpio </t>
  </si>
  <si>
    <t>Maroma x 6</t>
  </si>
  <si>
    <t>Umbral Granito Reconstituido</t>
  </si>
  <si>
    <t>Baldoson  de H° 40x40</t>
  </si>
  <si>
    <t>Baldoson  Piedra Lavada 40x40</t>
  </si>
  <si>
    <t>Espejo Colocado</t>
  </si>
  <si>
    <t>Vidrio de Seguridad 3+3 Colocado</t>
  </si>
  <si>
    <t>Vallado de replanteo</t>
  </si>
  <si>
    <t>Vallado perimetral</t>
  </si>
  <si>
    <t>Reglas Metálicas/Madera</t>
  </si>
  <si>
    <t>Zócalo MDF Prepintado 3*1/4</t>
  </si>
  <si>
    <t>Perfil U aluminio 20*10</t>
  </si>
  <si>
    <t>Guardacanto Plástico Porcelanato</t>
  </si>
  <si>
    <t>Baño Químico</t>
  </si>
  <si>
    <t>Materiales Núcleo Sanitario</t>
  </si>
  <si>
    <t>Tobogán</t>
  </si>
  <si>
    <t>Mástil</t>
  </si>
  <si>
    <t>Piedra Decoración tipo</t>
  </si>
  <si>
    <t>Alambre Romboidal 200*50*12</t>
  </si>
  <si>
    <t>Alambre Púas</t>
  </si>
  <si>
    <t>Revestimiento Tipo Súper Iggam Símil Piedra</t>
  </si>
  <si>
    <t>Cemento de Albañilería</t>
  </si>
  <si>
    <t>Pegamento para cerámico</t>
  </si>
  <si>
    <t>Acelerarte de Endurecimiento</t>
  </si>
  <si>
    <t>Servicio de Bomba Telescópica</t>
  </si>
  <si>
    <t>Instalación cañeria fija</t>
  </si>
  <si>
    <t>Vigueta p/mts</t>
  </si>
  <si>
    <t>Masilla común</t>
  </si>
  <si>
    <t>Masilla secado rápido</t>
  </si>
  <si>
    <t>Cinta Común</t>
  </si>
  <si>
    <t>Emulsión asfáltica</t>
  </si>
  <si>
    <t>Red de sostén</t>
  </si>
  <si>
    <t>Ladrillo de Hormigón</t>
  </si>
  <si>
    <t>Ladrillo cerámico para Losa</t>
  </si>
  <si>
    <t>Poste Olímpico 10x10x3,00</t>
  </si>
  <si>
    <t>Poste Olímpico 12x12x3,00</t>
  </si>
  <si>
    <t>Poste Olímpico 10x10x3,50</t>
  </si>
  <si>
    <t>Adoquín de H°</t>
  </si>
  <si>
    <t>Hidrófugo</t>
  </si>
  <si>
    <t>Revestimiento Revear</t>
  </si>
  <si>
    <t>Colocación de bachas</t>
  </si>
  <si>
    <t>Calcárea 60x40</t>
  </si>
  <si>
    <t>Zócalo de Granito Gris Mara</t>
  </si>
  <si>
    <t>Cerámica 30 x 30</t>
  </si>
  <si>
    <t>Materiales Instalación de gas</t>
  </si>
  <si>
    <t>Oficial Especializado</t>
  </si>
  <si>
    <t>Grúa</t>
  </si>
  <si>
    <t>Camión Retiro Escombro</t>
  </si>
  <si>
    <t>z010</t>
  </si>
  <si>
    <t>Tekno Ambiente</t>
  </si>
  <si>
    <t>Pincel</t>
  </si>
  <si>
    <t>Rodillo Lana</t>
  </si>
  <si>
    <t>Enduido Acrílico</t>
  </si>
  <si>
    <t>Lija</t>
  </si>
  <si>
    <t xml:space="preserve">Thinner </t>
  </si>
  <si>
    <t>Protector para madera</t>
  </si>
  <si>
    <t>Ceramico para pared</t>
  </si>
  <si>
    <t>DESIGNACIÓN</t>
  </si>
  <si>
    <t>ITEM</t>
  </si>
  <si>
    <t>AVANCE FISICO GENERAL DE LA OBRA (%)</t>
  </si>
  <si>
    <t>MONTO INVERSION GENERAL DE  OBRA ($)</t>
  </si>
  <si>
    <t>Artefactos y Luminarias</t>
  </si>
  <si>
    <t>z011</t>
  </si>
  <si>
    <t>1° MES</t>
  </si>
  <si>
    <t>2° MES</t>
  </si>
  <si>
    <t>3° MES</t>
  </si>
  <si>
    <t>4° MES</t>
  </si>
  <si>
    <t>5° MES</t>
  </si>
  <si>
    <t>6° MES</t>
  </si>
  <si>
    <t>7° MES</t>
  </si>
  <si>
    <t>8° MES</t>
  </si>
  <si>
    <t>Coe1</t>
  </si>
  <si>
    <t>Coe2</t>
  </si>
  <si>
    <t>Coe3</t>
  </si>
  <si>
    <t>Z087</t>
  </si>
  <si>
    <t>Z088</t>
  </si>
  <si>
    <t>Z089</t>
  </si>
  <si>
    <t>Z090</t>
  </si>
  <si>
    <t>Z091</t>
  </si>
  <si>
    <t>Z092</t>
  </si>
  <si>
    <t>Z093</t>
  </si>
  <si>
    <t>Z094</t>
  </si>
  <si>
    <t>Z095</t>
  </si>
  <si>
    <t>Z096</t>
  </si>
  <si>
    <t>Z097</t>
  </si>
  <si>
    <t>Z098</t>
  </si>
  <si>
    <t>Z099</t>
  </si>
  <si>
    <t>Z100</t>
  </si>
  <si>
    <t>Z101</t>
  </si>
  <si>
    <t>Z102</t>
  </si>
  <si>
    <t>Z103</t>
  </si>
  <si>
    <t>Z104</t>
  </si>
  <si>
    <t>Z105</t>
  </si>
  <si>
    <t>Z106</t>
  </si>
  <si>
    <t>Z107</t>
  </si>
  <si>
    <t>Z108</t>
  </si>
  <si>
    <t>Z109</t>
  </si>
  <si>
    <t>Z110</t>
  </si>
  <si>
    <t>Z111</t>
  </si>
  <si>
    <t>Z112</t>
  </si>
  <si>
    <t>Z113</t>
  </si>
  <si>
    <t>Z114</t>
  </si>
  <si>
    <t>Z115</t>
  </si>
  <si>
    <t>Z116</t>
  </si>
  <si>
    <t>Z117</t>
  </si>
  <si>
    <t>z087</t>
  </si>
  <si>
    <t>z088</t>
  </si>
  <si>
    <t>z089</t>
  </si>
  <si>
    <t>z090</t>
  </si>
  <si>
    <t>z091</t>
  </si>
  <si>
    <t>z092</t>
  </si>
  <si>
    <t>z093</t>
  </si>
  <si>
    <t>z094</t>
  </si>
  <si>
    <t>z095</t>
  </si>
  <si>
    <t>z096</t>
  </si>
  <si>
    <t>z097</t>
  </si>
  <si>
    <t>z098</t>
  </si>
  <si>
    <t xml:space="preserve"> P. UNITARIO</t>
  </si>
  <si>
    <t>9° MES</t>
  </si>
  <si>
    <t>Toyota Hilux  2013</t>
  </si>
  <si>
    <t>SPLITS BGH COOLTIME CLASE A CTSM23CN</t>
  </si>
  <si>
    <t>SPLITS BGH COOLTIME CLASE A CTSM30CN</t>
  </si>
  <si>
    <t>SPLITS BGH COOLTIME CLASE A CTSM45CN</t>
  </si>
  <si>
    <t>SPLITS BGH COOLTIME CLASE A CTSM55CN</t>
  </si>
  <si>
    <t>SPLITS BGH SILENT AIR PRO CLASE A BS80CNP</t>
  </si>
  <si>
    <t>Cañria de drenaje y accesorios</t>
  </si>
  <si>
    <t>Cajas 20 x 20 x 10</t>
  </si>
  <si>
    <t>Caño 60 PVC</t>
  </si>
  <si>
    <t>Cañeria de intercomunicacion hasta 3000</t>
  </si>
  <si>
    <t>Cañeria de intercomunicacion hasta 6000</t>
  </si>
  <si>
    <t>Cañeria de intercomunicacion hasta 18000</t>
  </si>
  <si>
    <t>Molina</t>
  </si>
  <si>
    <t>09/16/16</t>
  </si>
  <si>
    <t>Cemento Puzolanico</t>
  </si>
  <si>
    <t>100*40*2</t>
  </si>
  <si>
    <t>80*40*2</t>
  </si>
  <si>
    <t>40*40*2</t>
  </si>
  <si>
    <t>08/16/16</t>
  </si>
  <si>
    <t>Hetzer</t>
  </si>
  <si>
    <t>comun</t>
  </si>
  <si>
    <t>Albors</t>
  </si>
  <si>
    <t>pegacoll</t>
  </si>
  <si>
    <t>pegazo</t>
  </si>
  <si>
    <t>colormax</t>
  </si>
  <si>
    <t>edf</t>
  </si>
  <si>
    <t>Placa de plomo 2,00 mm</t>
  </si>
  <si>
    <t>Placa de plomo 1,50 mm</t>
  </si>
  <si>
    <t>Vidrio Plomado 80x80 cm</t>
  </si>
  <si>
    <t>Alfagias</t>
  </si>
  <si>
    <t xml:space="preserve">PVC Accesorios </t>
  </si>
  <si>
    <t xml:space="preserve">Electricos Accesorios </t>
  </si>
  <si>
    <t xml:space="preserve">Maderas Accesorios </t>
  </si>
  <si>
    <t xml:space="preserve">Revestimiento Plastico Texturado </t>
  </si>
  <si>
    <t>Kolormax</t>
  </si>
  <si>
    <t xml:space="preserve">Pintura Accesorios </t>
  </si>
  <si>
    <t>Guardacamilla MDF Acero Inox</t>
  </si>
  <si>
    <t>Acero Inox Accesorios</t>
  </si>
  <si>
    <t>Teckno Latex Int.Ext.</t>
  </si>
  <si>
    <t>Sintetico Dos en Uno</t>
  </si>
  <si>
    <t>Lija N° 100</t>
  </si>
  <si>
    <t>Rodillo Lana 22 cm</t>
  </si>
  <si>
    <t>Tekno</t>
  </si>
  <si>
    <t>Revestimiento Acrilico Tekno</t>
  </si>
  <si>
    <t>Látex Int. Ext. T Pinturas</t>
  </si>
  <si>
    <t>Fijador T. Pinturas</t>
  </si>
  <si>
    <t>Anti oxido Fos. De Sing T. Doble</t>
  </si>
  <si>
    <t>Sintético Brill. Sat. T.</t>
  </si>
  <si>
    <t>Tierra para Parquizacion</t>
  </si>
  <si>
    <t>Semillas</t>
  </si>
  <si>
    <t>Plantas</t>
  </si>
  <si>
    <t>Gárgola</t>
  </si>
  <si>
    <t>Mosaico 30x30</t>
  </si>
  <si>
    <t>Lozeta Rustica 40x40</t>
  </si>
  <si>
    <t>Mosaico 20x20</t>
  </si>
  <si>
    <t>Vidrio Templado</t>
  </si>
  <si>
    <t>Zócalo Sanitarios</t>
  </si>
  <si>
    <t>Alumtemplex</t>
  </si>
  <si>
    <t>Ventana Cocina</t>
  </si>
  <si>
    <t>Bajo Mesada y Alacena Revelado</t>
  </si>
  <si>
    <t>Bajo Mesada y Alacena Sucio</t>
  </si>
  <si>
    <t>Bajo Mesada y Alacena Limpio</t>
  </si>
  <si>
    <t>Bajo Mesada y Alacena Cocina</t>
  </si>
  <si>
    <t>Antebaño / vagnitory</t>
  </si>
  <si>
    <t>Buceta</t>
  </si>
  <si>
    <t xml:space="preserve">Metales Accesorios </t>
  </si>
  <si>
    <t>Flores</t>
  </si>
  <si>
    <t>Camioneta obra combustible</t>
  </si>
  <si>
    <t>Caño Epoxi 1/2" x 6 mts.</t>
  </si>
  <si>
    <t>Caño Epoxi  3/4" x 6 mts.</t>
  </si>
  <si>
    <t>Caño Epoxi  1" x 6 mts.</t>
  </si>
  <si>
    <t>Codo Epoxi HH 1/2"</t>
  </si>
  <si>
    <t>Codo Epoxi HH 3/4"</t>
  </si>
  <si>
    <t>Codo EpoxiHH 1"</t>
  </si>
  <si>
    <t>Cupla Epoxi1/2"</t>
  </si>
  <si>
    <t>Cupla Epoxi 3/4"</t>
  </si>
  <si>
    <t>Cupla  Epoxi1"</t>
  </si>
  <si>
    <t>Calefactor 5000 cal</t>
  </si>
  <si>
    <t>Calefón Instantáneo 21000 cal</t>
  </si>
  <si>
    <t>Materiales PVC Instalación base cloacal y cámaras</t>
  </si>
  <si>
    <t>Materiales Cañería distribución agua fría y caliente</t>
  </si>
  <si>
    <t>Materiales Tanque reserva</t>
  </si>
  <si>
    <t>Materiales y Artefactos sanitarios y grifería</t>
  </si>
  <si>
    <t>Hormigón Elaborado 1</t>
  </si>
  <si>
    <t>Hormigón Elaborado 2</t>
  </si>
  <si>
    <t>Hormigón Elaborado 3</t>
  </si>
  <si>
    <t>Hormigón Elaborado 4</t>
  </si>
  <si>
    <t>Hormigón Elaborado 5</t>
  </si>
  <si>
    <t>Hormigón Elaborado 6</t>
  </si>
  <si>
    <t>Tecnico</t>
  </si>
  <si>
    <t>Resp civil</t>
  </si>
  <si>
    <t>Cables 1,5. 2,5. 4,0 mm</t>
  </si>
  <si>
    <t>Cañeria MOP Dia. Varios</t>
  </si>
  <si>
    <t>Tableros Electricos</t>
  </si>
  <si>
    <t>Llaves, tomas Etc.</t>
  </si>
  <si>
    <t>Alimentacion Electrica</t>
  </si>
  <si>
    <t>Pisoducto</t>
  </si>
  <si>
    <t>Generador</t>
  </si>
  <si>
    <t>templad solo</t>
  </si>
  <si>
    <t>4+4 templado termoendurecido</t>
  </si>
  <si>
    <t>Mesada acero Inox</t>
  </si>
  <si>
    <t>Extintor ABC 5 kg</t>
  </si>
  <si>
    <t>Extintor ABC 10 kg</t>
  </si>
  <si>
    <t>Cartel Salida Común</t>
  </si>
  <si>
    <t>Cartel Salida Fotoluminiscente</t>
  </si>
  <si>
    <t>Cartel Salida LED</t>
  </si>
  <si>
    <t>Gabinete Para Manguera</t>
  </si>
  <si>
    <t>Accesorios Inox</t>
  </si>
  <si>
    <t>Cartelería y señalética</t>
  </si>
  <si>
    <t>Sergio Castro</t>
  </si>
  <si>
    <t>Costos Financiero</t>
  </si>
  <si>
    <t>Impueto al cheque</t>
  </si>
  <si>
    <t>Registro de Constructor</t>
  </si>
  <si>
    <t>Malla 15x15 6,00</t>
  </si>
  <si>
    <t>Malla 15x15 4,20</t>
  </si>
  <si>
    <t>Columnas de Encadenado</t>
  </si>
  <si>
    <t>Z040</t>
  </si>
  <si>
    <t>Z020</t>
  </si>
  <si>
    <t>Coeficiente 4</t>
  </si>
  <si>
    <t>z099</t>
  </si>
  <si>
    <t>Ascensor Hidraulico 2 Parada s/especificaciones (1)</t>
  </si>
  <si>
    <t>Ascensor Hidraulico 2 Parada s/especificaciones (2)</t>
  </si>
  <si>
    <t>Ascensor Hidraulico 2 Parada s/especificaciones (3)</t>
  </si>
  <si>
    <t>Matias</t>
  </si>
  <si>
    <t>Quiroga</t>
  </si>
  <si>
    <t>Tadini Carpsa Carpintero</t>
  </si>
  <si>
    <t>Anafe 2 Hornallas</t>
  </si>
  <si>
    <t>Extintor Co2  3,5 kg</t>
  </si>
  <si>
    <t>Botiquín Primeros Auxilios</t>
  </si>
  <si>
    <t>O</t>
  </si>
  <si>
    <t>Obra:UNIVERSIDAD NACIONAL DE SAN JUAN - SEDE JACHAL</t>
  </si>
  <si>
    <t>Parte: Construcción AULAS - 1er. ETAPA</t>
  </si>
  <si>
    <t>COMPUTO y PRESUPUESTO</t>
  </si>
  <si>
    <t>Id.</t>
  </si>
  <si>
    <t>Precio</t>
  </si>
  <si>
    <t>Precio Parcial</t>
  </si>
  <si>
    <t>Porcentaje de</t>
  </si>
  <si>
    <t>Unitario</t>
  </si>
  <si>
    <t>Incidencia</t>
  </si>
  <si>
    <t>RUBRO I: PRELIMINARES</t>
  </si>
  <si>
    <t>Desmalezado, Limpieza, Replanteo y Demoliciones</t>
  </si>
  <si>
    <t>Obrador y Depósito</t>
  </si>
  <si>
    <t>GL</t>
  </si>
  <si>
    <t>Calculo Tramitacion y Aprobacion de Planos</t>
  </si>
  <si>
    <t>Equipamiento Oficina Direccion de Obra</t>
  </si>
  <si>
    <t>Traslado de Inspeccion</t>
  </si>
  <si>
    <t>RUBRO II: MOVIMIENTO de SUELOS</t>
  </si>
  <si>
    <t>Relleno y compactacion con material de aporte</t>
  </si>
  <si>
    <t>Excavacion para Fundaciones</t>
  </si>
  <si>
    <t>RUBRO III: ESTRUCTURA RESISTENTE</t>
  </si>
  <si>
    <t>Cimiento comun con Piedra Bola</t>
  </si>
  <si>
    <t>Bases de Columnas</t>
  </si>
  <si>
    <t>Vigas de Arriostramiento y Fundacion</t>
  </si>
  <si>
    <t>Vigas de Encadenado</t>
  </si>
  <si>
    <t>Losa Maciza de Hormigon visto</t>
  </si>
  <si>
    <t>RUBRO IV: ALBAÑILERÍA</t>
  </si>
  <si>
    <t>Mamposteria de ladrillon de 0.30 de espesor</t>
  </si>
  <si>
    <t>Mamposteria de ladrillon de 0.20 de espesor</t>
  </si>
  <si>
    <t>Mamposteria de ladrillo de 0.12 de espesor</t>
  </si>
  <si>
    <t>Capa Aisladora</t>
  </si>
  <si>
    <t>Tabiques divisorios en sanitarios</t>
  </si>
  <si>
    <t>Tabiques de roca de yeso tipo Durlock</t>
  </si>
  <si>
    <t>RUBRO V: REVOQUES</t>
  </si>
  <si>
    <t>Grueso Interior/Exterior</t>
  </si>
  <si>
    <t>Enlucido a la cal Interior</t>
  </si>
  <si>
    <t>Grueso Interior bajo revestimiento</t>
  </si>
  <si>
    <t>Salpicado cementicio terminacion planchada con llana</t>
  </si>
  <si>
    <t>RUBRO VI: CIELORRASOS</t>
  </si>
  <si>
    <t>RUBRO VII: CONTRAPISOS, CARPETAS, PISOS, UMBRALES y ZÓCALOS,</t>
  </si>
  <si>
    <t>De Hº Alivianado con Membrana Asfáltica  (Completa)</t>
  </si>
  <si>
    <t>Contrapiso Común Bajo Piso  (-e- 8cm.)</t>
  </si>
  <si>
    <t>Carpeta de Asiento bajo Cerámico</t>
  </si>
  <si>
    <t>Piso Industrialde Hormigon Llaneado c/endurecedor c/fibra de nylon</t>
  </si>
  <si>
    <t>De Cerámico 20 x 20 p/ sanitarios</t>
  </si>
  <si>
    <t>De Hormigón Alisado terminado al frataz en vereda perimetral</t>
  </si>
  <si>
    <t>Zócalo Porcellanatto h: 10 cm color a definir</t>
  </si>
  <si>
    <t>RUBRO VIII: REVESTIMIENTOS</t>
  </si>
  <si>
    <t>Ceramico</t>
  </si>
  <si>
    <t>RUBRO IX: MESADAS, MARMOLERÍA</t>
  </si>
  <si>
    <t>Mesadas Baños (2,20 x 0,60)</t>
  </si>
  <si>
    <t>RUBRO X: CARPINTERÍA de MADERA</t>
  </si>
  <si>
    <t>P3 : 1,00 x 2,05 Hoja (Baño Discapacitados)</t>
  </si>
  <si>
    <t>Ud</t>
  </si>
  <si>
    <t>P2 : 0,95 x 2,05 Hoja (Acceso baños)</t>
  </si>
  <si>
    <t>P4:  0,70 x 1,80 Hoja (Baños Retretes)</t>
  </si>
  <si>
    <t>RUBRO XI: CARPINTERÍA METÁLICA y HERRERÍA</t>
  </si>
  <si>
    <t>P1: 1,50 x 2,55</t>
  </si>
  <si>
    <t>P2: 1,00 x 2,55 Marco (Acceso Baños)</t>
  </si>
  <si>
    <t>P3: 1,00 x 2,55 Marco (Baño Discapacitados)</t>
  </si>
  <si>
    <t>P4: 0,90 x 1,80 Marco (Baño Retretes)</t>
  </si>
  <si>
    <t>PV1: 6,73 x 2,55</t>
  </si>
  <si>
    <t>PV2: 6,67 x 2,55</t>
  </si>
  <si>
    <t>PV3: 7,86 x 2,25</t>
  </si>
  <si>
    <t>PV4: 3,60 x 2,55</t>
  </si>
  <si>
    <t>PV5: 3,50 x 2,55</t>
  </si>
  <si>
    <t>B1: 6,73 x 0,60</t>
  </si>
  <si>
    <t>B2: 7,87 x 0,45</t>
  </si>
  <si>
    <t>Estructura metalica para pergola</t>
  </si>
  <si>
    <t>RUBRO XII: INSTALACIÓN ELÉCTRICA</t>
  </si>
  <si>
    <t>Colocacion de bocas , tendido de cañerias y conductores</t>
  </si>
  <si>
    <t>Medidor trifasico, pilastra y tablero de entrada</t>
  </si>
  <si>
    <t>RUBRO XIII: INSTALACIÓN SANITARIA</t>
  </si>
  <si>
    <t>Cañerias Agua y Desagüe</t>
  </si>
  <si>
    <t>Artefactos y accesorios</t>
  </si>
  <si>
    <t>Conexión de Agua F 19 mm</t>
  </si>
  <si>
    <t>Conexión  a Pozo Absorvente</t>
  </si>
  <si>
    <t>RUBRO XIV: INSTALACION de GAS</t>
  </si>
  <si>
    <t>RUBRO XV: SEGURIDAD</t>
  </si>
  <si>
    <t>CONTRA INCENDIO - Matafuegos ABC 5kg Colocado - Sello IRAM</t>
  </si>
  <si>
    <t>CONTRA INCENDIO - Iluminacion de emergencia</t>
  </si>
  <si>
    <t>CONTRA INCENDIO - Carteleria</t>
  </si>
  <si>
    <t>RUBRO XVI: TERMOMECÁNICA</t>
  </si>
  <si>
    <t>RUBRO XVII: VIDRIOS y ESPEJOS</t>
  </si>
  <si>
    <t>RUBRO XVIII: PINTURAS</t>
  </si>
  <si>
    <t>Pintura al látex en muros interiores</t>
  </si>
  <si>
    <t>Curador acrilico transparente</t>
  </si>
  <si>
    <t>Pintura al Latex para exteriores primera calidad color a definir</t>
  </si>
  <si>
    <t>Esmalte Sintetico en Carpinterias</t>
  </si>
  <si>
    <t>RUBRO XIX: TRABAJOS EXTERIORES</t>
  </si>
  <si>
    <t>RUBRO XX: VARIOS</t>
  </si>
  <si>
    <t>Limpieza de Obra</t>
  </si>
  <si>
    <t>Planos conforme a obra aprobados  / Manual de uso y mantenimiento</t>
  </si>
  <si>
    <t>PRELIMINARES</t>
  </si>
  <si>
    <t>RUBRO I:</t>
  </si>
  <si>
    <t>RUBRO II:</t>
  </si>
  <si>
    <t xml:space="preserve"> ESTRUCTURA RESISTENTE</t>
  </si>
  <si>
    <t>RUBRO III:</t>
  </si>
  <si>
    <t xml:space="preserve"> MOVIMIENTO de SUELOS</t>
  </si>
  <si>
    <t>RUBRO IV:</t>
  </si>
  <si>
    <t>RUBRO V:</t>
  </si>
  <si>
    <t>RUBRO VI:</t>
  </si>
  <si>
    <t>RUBRO VII:</t>
  </si>
  <si>
    <t>CONTRAPISOS, CARPETAS, PISOS, UMBRALES y ZÓCALOS,</t>
  </si>
  <si>
    <t>RUBRO VIII:</t>
  </si>
  <si>
    <t>MESADAS, MARMOLERÍA</t>
  </si>
  <si>
    <t>RUBRO IX:</t>
  </si>
  <si>
    <t>CARPINTERÍA METÁLICA y HERRERÍA</t>
  </si>
  <si>
    <t>RUBRO XI:</t>
  </si>
  <si>
    <t>RUBRO X:</t>
  </si>
  <si>
    <t>CARPINTERÍA de MADERA</t>
  </si>
  <si>
    <t>ud</t>
  </si>
  <si>
    <t>MINISTERIO DEL INTERIOR, OBRAS PÚBLICAS Y VIVIENDA PROGRAMA NACIONAL DE INFRAESTRUCTURA UNIVERSITARIA</t>
  </si>
  <si>
    <t>LICITACIÓN PÚBLICA NACIONAL N° CU-011/16</t>
  </si>
  <si>
    <t>MES DE ORIGEN: OCTUBRE 2016</t>
  </si>
  <si>
    <t>OBRA: EDIFICIO SEDE JÁCHAL - CONSTRUCCIÓN DE AULAS</t>
  </si>
  <si>
    <t>COMITENTE: UNIVERSIDAD NACIONAL DE SAN JUAN</t>
  </si>
  <si>
    <t xml:space="preserve">SUB TOTAL </t>
  </si>
  <si>
    <t>$</t>
  </si>
  <si>
    <t>SUB TOTAL (C) EQUIPOS</t>
  </si>
  <si>
    <t>SUB TOTAL (B) MANO DE OBRA</t>
  </si>
  <si>
    <t>SUB TOTAL( A) MATERIALES</t>
  </si>
  <si>
    <t>CR</t>
  </si>
  <si>
    <t>PRECIO DEL ITEM:</t>
  </si>
  <si>
    <t>PRECIO DEL ITEM: COSTO NETO TOTAL (D) X CR :</t>
  </si>
  <si>
    <t>COSTO NETO (D)  (A+B+C):</t>
  </si>
  <si>
    <t>CARGAS</t>
  </si>
  <si>
    <t>DIRECTA</t>
  </si>
  <si>
    <t>Cargas Sociles Maquinista</t>
  </si>
  <si>
    <t>x001</t>
  </si>
  <si>
    <t>n006</t>
  </si>
  <si>
    <t>n007</t>
  </si>
  <si>
    <t>Cargas Sociales Oficial</t>
  </si>
  <si>
    <t>Cargas Sociales Ayudante</t>
  </si>
  <si>
    <t>RUBRO XII:</t>
  </si>
  <si>
    <t>RUBRO XIII:</t>
  </si>
  <si>
    <t>RUBRO XIV:</t>
  </si>
  <si>
    <t>INSTALACION de GAS</t>
  </si>
  <si>
    <t>SEGURIDAD</t>
  </si>
  <si>
    <t>RUBRO XV:</t>
  </si>
  <si>
    <t>RUBRO XVI:</t>
  </si>
  <si>
    <t>RUBRO XVII:</t>
  </si>
  <si>
    <t>RUBRO XVIII:</t>
  </si>
  <si>
    <t>TERMOMECÁNICA</t>
  </si>
  <si>
    <t>VIDRIOS y ESPEJOS</t>
  </si>
  <si>
    <t>TRABAJOS EXTERIORES</t>
  </si>
  <si>
    <t xml:space="preserve"> VARIOS</t>
  </si>
  <si>
    <t>RUBRO XIX:</t>
  </si>
  <si>
    <t>RUBRO XX:</t>
  </si>
  <si>
    <t>z100</t>
  </si>
  <si>
    <t>z101</t>
  </si>
  <si>
    <t>z102</t>
  </si>
  <si>
    <t>z103</t>
  </si>
  <si>
    <t>z104</t>
  </si>
  <si>
    <t>z105</t>
  </si>
  <si>
    <t>z106</t>
  </si>
  <si>
    <t>P. PARACIAL</t>
  </si>
  <si>
    <t>% DE INCIDENCIA PARCIAL</t>
  </si>
  <si>
    <t>% DE INCIDENCIA ITEM</t>
  </si>
  <si>
    <t>P. POR ITEM</t>
  </si>
  <si>
    <t>Gastos Generales e Indirectos</t>
  </si>
  <si>
    <t>Beneficio</t>
  </si>
  <si>
    <t>Incidencia Sobre (A)</t>
  </si>
  <si>
    <t>(A)</t>
  </si>
  <si>
    <t>(B)</t>
  </si>
  <si>
    <t>SUB TOTAL 1</t>
  </si>
  <si>
    <t>Costo Fnanciero</t>
  </si>
  <si>
    <t>Incidencia Sobre (B)</t>
  </si>
  <si>
    <t>SUB TOTAL 2</t>
  </si>
  <si>
    <t>IIBB</t>
  </si>
  <si>
    <t>IVA</t>
  </si>
  <si>
    <t>Incidencia Sobre (C)</t>
  </si>
  <si>
    <t>(C)</t>
  </si>
  <si>
    <t>SUB TOTAL 3</t>
  </si>
  <si>
    <t>COEFICIENTE DE RESUMEN ADOPTADO (CR)</t>
  </si>
  <si>
    <t>COEFICIENTE DE RESUMEN</t>
  </si>
  <si>
    <t>Municipalidad Jachal</t>
  </si>
  <si>
    <t>EDF</t>
  </si>
  <si>
    <t>Melo +40% en Jachal Mapal</t>
  </si>
  <si>
    <t>m060</t>
  </si>
  <si>
    <t>x012</t>
  </si>
  <si>
    <t>x003</t>
  </si>
  <si>
    <t>Operador Maquina</t>
  </si>
  <si>
    <t>Operador Compactdora</t>
  </si>
  <si>
    <t>m152</t>
  </si>
  <si>
    <t>m052</t>
  </si>
  <si>
    <t>m055</t>
  </si>
  <si>
    <t>m105</t>
  </si>
  <si>
    <t>m101</t>
  </si>
  <si>
    <t>m016</t>
  </si>
  <si>
    <t>m107</t>
  </si>
  <si>
    <t>m004</t>
  </si>
  <si>
    <t>m017</t>
  </si>
  <si>
    <t>m302</t>
  </si>
  <si>
    <t>m153</t>
  </si>
  <si>
    <t>m018</t>
  </si>
  <si>
    <t>m321</t>
  </si>
  <si>
    <t>*****</t>
  </si>
  <si>
    <t>m051</t>
  </si>
  <si>
    <t>m154</t>
  </si>
  <si>
    <t>m058</t>
  </si>
  <si>
    <t>m236</t>
  </si>
  <si>
    <t>m224</t>
  </si>
  <si>
    <t>m042</t>
  </si>
  <si>
    <t>pomeca</t>
  </si>
  <si>
    <t>carpeta</t>
  </si>
  <si>
    <t xml:space="preserve">emulcion </t>
  </si>
  <si>
    <t>membrana</t>
  </si>
  <si>
    <t>x004</t>
  </si>
  <si>
    <t>m251</t>
  </si>
  <si>
    <t>m255</t>
  </si>
  <si>
    <t>m256</t>
  </si>
  <si>
    <t>m257</t>
  </si>
  <si>
    <t>m258</t>
  </si>
  <si>
    <t>m259</t>
  </si>
  <si>
    <t>m260</t>
  </si>
  <si>
    <t>m261</t>
  </si>
  <si>
    <t>Caja Octogonal Grande</t>
  </si>
  <si>
    <t>Caja Rectangular</t>
  </si>
  <si>
    <t>Caño 3/4</t>
  </si>
  <si>
    <t>Caño 7/8</t>
  </si>
  <si>
    <t>Gancho para Caja</t>
  </si>
  <si>
    <t>Conector 3/4</t>
  </si>
  <si>
    <t>Unión Doble 3/4</t>
  </si>
  <si>
    <t>Curva 3/4</t>
  </si>
  <si>
    <t>Conector 7/8</t>
  </si>
  <si>
    <t>Unión Doble 7/8</t>
  </si>
  <si>
    <t>Curva 7/8</t>
  </si>
  <si>
    <t>Cable 1,5 mm</t>
  </si>
  <si>
    <t>Cable 2,5 mm</t>
  </si>
  <si>
    <t>Cable 4 mm</t>
  </si>
  <si>
    <t>Cable 10 mm</t>
  </si>
  <si>
    <t>Módulo Toma SICA LIFE</t>
  </si>
  <si>
    <t>Módulo Interruptor SICA LIFE</t>
  </si>
  <si>
    <t>Módulo Ciego SICA LIFE</t>
  </si>
  <si>
    <t>Módulo Bastidor SICA LIFE</t>
  </si>
  <si>
    <t>Módulo Tapa Bastidor SICA LIFE</t>
  </si>
  <si>
    <t>Accesorios Electricidad</t>
  </si>
  <si>
    <t>m471</t>
  </si>
  <si>
    <t>Caja Medidor Trifásico</t>
  </si>
  <si>
    <t>Caño Galvanizado 1 1/2</t>
  </si>
  <si>
    <t>Javalina 7/8</t>
  </si>
  <si>
    <t>Cable Desnudo 10 mm</t>
  </si>
  <si>
    <t>Gabinete 600 x 450 x 120</t>
  </si>
  <si>
    <t>Térmica Schneider DOMAE 2 x 10 A</t>
  </si>
  <si>
    <t>Térmica Schneider DOMAE 2 x 16 A</t>
  </si>
  <si>
    <t>Térmica Schneider DOMAE 2 x 40 A</t>
  </si>
  <si>
    <t>Térmica Schneider DOMAE 4 x 50 A</t>
  </si>
  <si>
    <t>Térmica Schneider DOMAE 4 x 100 A</t>
  </si>
  <si>
    <t>Disyuntor Schneider DOMAE 4 x 63 A</t>
  </si>
  <si>
    <t>Disyuntor Schneider DOMAE 2 x 40 A</t>
  </si>
  <si>
    <t>40 por m2 preparado elevorado y encofrado</t>
  </si>
  <si>
    <t>m162</t>
  </si>
  <si>
    <t>Rodrilar</t>
  </si>
  <si>
    <t>m263</t>
  </si>
  <si>
    <t>m264</t>
  </si>
  <si>
    <t>m265</t>
  </si>
  <si>
    <t>m252</t>
  </si>
  <si>
    <t>m253</t>
  </si>
  <si>
    <t>m254</t>
  </si>
  <si>
    <t>Cuarso</t>
  </si>
  <si>
    <t>Fibra</t>
  </si>
  <si>
    <t>m028</t>
  </si>
  <si>
    <t>llaneado maquina</t>
  </si>
  <si>
    <t>m005</t>
  </si>
  <si>
    <t>m006</t>
  </si>
  <si>
    <t>m007</t>
  </si>
  <si>
    <t>Cemento Accesorios</t>
  </si>
  <si>
    <t>m024</t>
  </si>
  <si>
    <t>m015</t>
  </si>
  <si>
    <t>m010</t>
  </si>
  <si>
    <t>Calculista</t>
  </si>
  <si>
    <t>Tramitaciones</t>
  </si>
  <si>
    <t>m044</t>
  </si>
  <si>
    <t>m045</t>
  </si>
  <si>
    <t>Ploteos</t>
  </si>
  <si>
    <t>m046</t>
  </si>
  <si>
    <t>Camioneta de Traslado</t>
  </si>
  <si>
    <t>m065</t>
  </si>
  <si>
    <t>Comida Campamento</t>
  </si>
  <si>
    <t>x014</t>
  </si>
  <si>
    <t>Aditivo Protex Curing</t>
  </si>
  <si>
    <t>Aditivos Color Protex</t>
  </si>
  <si>
    <t>m040</t>
  </si>
  <si>
    <t>m043</t>
  </si>
  <si>
    <t>m156</t>
  </si>
  <si>
    <t>m157</t>
  </si>
  <si>
    <t>m315</t>
  </si>
  <si>
    <t>m019</t>
  </si>
  <si>
    <t>m155</t>
  </si>
  <si>
    <t>Ceramica 20 x 20</t>
  </si>
  <si>
    <t>Zocalo Porcelanato</t>
  </si>
  <si>
    <t>m316</t>
  </si>
  <si>
    <t>m314</t>
  </si>
  <si>
    <t>m356</t>
  </si>
  <si>
    <t>m363</t>
  </si>
  <si>
    <t>Materiales Cañerias Agua y Desagüe</t>
  </si>
  <si>
    <t>Materiales Artefactos y accesorios</t>
  </si>
  <si>
    <t>Materiales Tanque de reserva y bombeo</t>
  </si>
  <si>
    <t>Materiales Conexión de Agua F 19 mm</t>
  </si>
  <si>
    <t>Materiales Conexión  a Pozo Absorvente</t>
  </si>
  <si>
    <t>m362</t>
  </si>
  <si>
    <t>m364</t>
  </si>
  <si>
    <t>m365</t>
  </si>
  <si>
    <t>m366</t>
  </si>
  <si>
    <t xml:space="preserve">Viga de Pozo </t>
  </si>
  <si>
    <t>m317</t>
  </si>
  <si>
    <t>Loza de Pozo</t>
  </si>
  <si>
    <t>m318</t>
  </si>
  <si>
    <t>Luz Emergencia 60 Led</t>
  </si>
  <si>
    <t>Detector de Humo</t>
  </si>
  <si>
    <t>m370</t>
  </si>
  <si>
    <t>m372</t>
  </si>
  <si>
    <t>m373</t>
  </si>
  <si>
    <t>m374</t>
  </si>
  <si>
    <t>m375</t>
  </si>
  <si>
    <t>m376</t>
  </si>
  <si>
    <t>m118</t>
  </si>
  <si>
    <t>m120</t>
  </si>
  <si>
    <t>m123</t>
  </si>
  <si>
    <t>m124</t>
  </si>
  <si>
    <t>m125</t>
  </si>
  <si>
    <t>m221</t>
  </si>
  <si>
    <t>m121</t>
  </si>
  <si>
    <t>m126</t>
  </si>
  <si>
    <t>Revestimiento Cementicio</t>
  </si>
  <si>
    <t>Latizador</t>
  </si>
  <si>
    <t>m139</t>
  </si>
  <si>
    <t>m140</t>
  </si>
  <si>
    <t>Registro de Contructores</t>
  </si>
  <si>
    <t>Agua de Obra</t>
  </si>
  <si>
    <t>Acrilico Transparanet</t>
  </si>
  <si>
    <t>m142</t>
  </si>
  <si>
    <t>m104</t>
  </si>
  <si>
    <t>Impuesto a las Ganancias</t>
  </si>
  <si>
    <t>m201</t>
  </si>
  <si>
    <t>m203</t>
  </si>
  <si>
    <t>m205</t>
  </si>
  <si>
    <t>m207</t>
  </si>
  <si>
    <t>m211</t>
  </si>
  <si>
    <t>m212</t>
  </si>
  <si>
    <t>m215</t>
  </si>
  <si>
    <t>m217</t>
  </si>
  <si>
    <t>m220</t>
  </si>
  <si>
    <t>Artefactos Electricos</t>
  </si>
  <si>
    <t>imprevistos</t>
  </si>
  <si>
    <t>ÍTEM</t>
  </si>
  <si>
    <t>P. PARCIAL</t>
  </si>
  <si>
    <t>P. POR ÍTEM</t>
  </si>
  <si>
    <t>ANTICIPO</t>
  </si>
  <si>
    <t>prepintada</t>
  </si>
  <si>
    <t>telgo por p20 de 5</t>
  </si>
  <si>
    <t>colocacion MO</t>
  </si>
  <si>
    <t>Casa Compadre de Manuel Carmona</t>
  </si>
  <si>
    <t>Gasto Real</t>
  </si>
  <si>
    <t>Definir</t>
  </si>
  <si>
    <t>Rubro y Sub Rubro</t>
  </si>
  <si>
    <t xml:space="preserve">Neto </t>
  </si>
  <si>
    <t>Materiales</t>
  </si>
  <si>
    <t>MO</t>
  </si>
  <si>
    <t>Herramientas</t>
  </si>
  <si>
    <t>MO001</t>
  </si>
  <si>
    <t>MA001</t>
  </si>
  <si>
    <t>E001</t>
  </si>
  <si>
    <t>$ Uni.</t>
  </si>
  <si>
    <t>$ Total</t>
  </si>
  <si>
    <t>MA002</t>
  </si>
  <si>
    <t>MO002</t>
  </si>
  <si>
    <t>E002</t>
  </si>
  <si>
    <t>MA003</t>
  </si>
  <si>
    <t>MO003</t>
  </si>
  <si>
    <t>E003</t>
  </si>
  <si>
    <t>MA004</t>
  </si>
  <si>
    <t>MO004</t>
  </si>
  <si>
    <t>E004</t>
  </si>
  <si>
    <t>MA005</t>
  </si>
  <si>
    <t>MO005</t>
  </si>
  <si>
    <t>E005</t>
  </si>
  <si>
    <t>MA006</t>
  </si>
  <si>
    <t>MO007</t>
  </si>
  <si>
    <t>E006</t>
  </si>
  <si>
    <t>MO006</t>
  </si>
  <si>
    <t>MA007</t>
  </si>
  <si>
    <t>E007</t>
  </si>
  <si>
    <t>MA008</t>
  </si>
  <si>
    <t>MO008</t>
  </si>
  <si>
    <t>E008</t>
  </si>
  <si>
    <t>MA009</t>
  </si>
  <si>
    <t>MO009</t>
  </si>
  <si>
    <t>E009</t>
  </si>
  <si>
    <t>MA010</t>
  </si>
  <si>
    <t>MO010</t>
  </si>
  <si>
    <t>E010</t>
  </si>
  <si>
    <t>MA011</t>
  </si>
  <si>
    <t>MO011</t>
  </si>
  <si>
    <t>E011</t>
  </si>
  <si>
    <t>MA012</t>
  </si>
  <si>
    <t>MO012</t>
  </si>
  <si>
    <t>E012</t>
  </si>
  <si>
    <t>MA013</t>
  </si>
  <si>
    <t>MO013</t>
  </si>
  <si>
    <t>E013</t>
  </si>
  <si>
    <t>MA014</t>
  </si>
  <si>
    <t>MO014</t>
  </si>
  <si>
    <t>E014</t>
  </si>
  <si>
    <t>MA015</t>
  </si>
  <si>
    <t>MO015</t>
  </si>
  <si>
    <t>E015</t>
  </si>
  <si>
    <t>MA016</t>
  </si>
  <si>
    <t>MO016</t>
  </si>
  <si>
    <t>E016</t>
  </si>
  <si>
    <t>MO017</t>
  </si>
  <si>
    <t>E017</t>
  </si>
  <si>
    <t>MA017</t>
  </si>
  <si>
    <t>MA018</t>
  </si>
  <si>
    <t>MO018</t>
  </si>
  <si>
    <t>E018</t>
  </si>
  <si>
    <t>MA019</t>
  </si>
  <si>
    <t>MO019</t>
  </si>
  <si>
    <t>E019</t>
  </si>
  <si>
    <t>MA020</t>
  </si>
  <si>
    <t>MO020</t>
  </si>
  <si>
    <t>E020</t>
  </si>
  <si>
    <t>MA021</t>
  </si>
  <si>
    <t>MO021</t>
  </si>
  <si>
    <t>E021</t>
  </si>
  <si>
    <t>MA022</t>
  </si>
  <si>
    <t>MO022</t>
  </si>
  <si>
    <t>E022</t>
  </si>
  <si>
    <t>MA023</t>
  </si>
  <si>
    <t>MO023</t>
  </si>
  <si>
    <t>E023</t>
  </si>
  <si>
    <t>MA024</t>
  </si>
  <si>
    <t>MO024</t>
  </si>
  <si>
    <t>E024</t>
  </si>
  <si>
    <t>MA025</t>
  </si>
  <si>
    <t>MO025</t>
  </si>
  <si>
    <t>E025</t>
  </si>
  <si>
    <t>MA026</t>
  </si>
  <si>
    <t>MO026</t>
  </si>
  <si>
    <t>E026</t>
  </si>
  <si>
    <t>MA027</t>
  </si>
  <si>
    <t>MO027</t>
  </si>
  <si>
    <t>E027</t>
  </si>
  <si>
    <t>MA028</t>
  </si>
  <si>
    <t>MO028</t>
  </si>
  <si>
    <t>E028</t>
  </si>
  <si>
    <t>MA029</t>
  </si>
  <si>
    <t>MO029</t>
  </si>
  <si>
    <t>E029</t>
  </si>
  <si>
    <t>MA030</t>
  </si>
  <si>
    <t>MO030</t>
  </si>
  <si>
    <t>E030</t>
  </si>
  <si>
    <t>MA031</t>
  </si>
  <si>
    <t>MO031</t>
  </si>
  <si>
    <t>E031</t>
  </si>
  <si>
    <t>MA032</t>
  </si>
  <si>
    <t>MO032</t>
  </si>
  <si>
    <t>E032</t>
  </si>
  <si>
    <t>MA033</t>
  </si>
  <si>
    <t>MO033</t>
  </si>
  <si>
    <t>E033</t>
  </si>
  <si>
    <t>MA034</t>
  </si>
  <si>
    <t>MO034</t>
  </si>
  <si>
    <t>E034</t>
  </si>
  <si>
    <t>MA035</t>
  </si>
  <si>
    <t>MO035</t>
  </si>
  <si>
    <t>E035</t>
  </si>
  <si>
    <t>MA036</t>
  </si>
  <si>
    <t>MO036</t>
  </si>
  <si>
    <t>E036</t>
  </si>
  <si>
    <t>MA037</t>
  </si>
  <si>
    <t>MO037</t>
  </si>
  <si>
    <t>E037</t>
  </si>
  <si>
    <t>MA038</t>
  </si>
  <si>
    <t>MO038</t>
  </si>
  <si>
    <t>E038</t>
  </si>
  <si>
    <t>MA039</t>
  </si>
  <si>
    <t>MO039</t>
  </si>
  <si>
    <t>E039</t>
  </si>
  <si>
    <t>MA040</t>
  </si>
  <si>
    <t>MO040</t>
  </si>
  <si>
    <t>E040</t>
  </si>
  <si>
    <t>MA041</t>
  </si>
  <si>
    <t>MO041</t>
  </si>
  <si>
    <t>E041</t>
  </si>
  <si>
    <t>MA042</t>
  </si>
  <si>
    <t>MO042</t>
  </si>
  <si>
    <t>E042</t>
  </si>
  <si>
    <t>MA043</t>
  </si>
  <si>
    <t>MO043</t>
  </si>
  <si>
    <t>E043</t>
  </si>
  <si>
    <t>MA044</t>
  </si>
  <si>
    <t>MO044</t>
  </si>
  <si>
    <t>E044</t>
  </si>
  <si>
    <t>MA045</t>
  </si>
  <si>
    <t>MO045</t>
  </si>
  <si>
    <t>E045</t>
  </si>
  <si>
    <t>MA046</t>
  </si>
  <si>
    <t>MO046</t>
  </si>
  <si>
    <t>E046</t>
  </si>
  <si>
    <t>MA047</t>
  </si>
  <si>
    <t>MO047</t>
  </si>
  <si>
    <t>E047</t>
  </si>
  <si>
    <t>MA048</t>
  </si>
  <si>
    <t>MO048</t>
  </si>
  <si>
    <t>E048</t>
  </si>
  <si>
    <t>MA049</t>
  </si>
  <si>
    <t>MO049</t>
  </si>
  <si>
    <t>E049</t>
  </si>
  <si>
    <t>MA050</t>
  </si>
  <si>
    <t>MO050</t>
  </si>
  <si>
    <t>E050</t>
  </si>
  <si>
    <t>MA051</t>
  </si>
  <si>
    <t>MO051</t>
  </si>
  <si>
    <t>E051</t>
  </si>
  <si>
    <t>MA052</t>
  </si>
  <si>
    <t>MO052</t>
  </si>
  <si>
    <t>E052</t>
  </si>
  <si>
    <t>MA053</t>
  </si>
  <si>
    <t>MO053</t>
  </si>
  <si>
    <t>E053</t>
  </si>
  <si>
    <t>MA054</t>
  </si>
  <si>
    <t>MO054</t>
  </si>
  <si>
    <t>E054</t>
  </si>
  <si>
    <t>MA055</t>
  </si>
  <si>
    <t>MO055</t>
  </si>
  <si>
    <t>E055</t>
  </si>
  <si>
    <t>MA056</t>
  </si>
  <si>
    <t>MO056</t>
  </si>
  <si>
    <t>E056</t>
  </si>
  <si>
    <t>MA057</t>
  </si>
  <si>
    <t>MO057</t>
  </si>
  <si>
    <t>E057</t>
  </si>
  <si>
    <t>MA058</t>
  </si>
  <si>
    <t>MO058</t>
  </si>
  <si>
    <t>E058</t>
  </si>
  <si>
    <t>MA059</t>
  </si>
  <si>
    <t>MO059</t>
  </si>
  <si>
    <t>E059</t>
  </si>
  <si>
    <t>MA060</t>
  </si>
  <si>
    <t>MO060</t>
  </si>
  <si>
    <t>E060</t>
  </si>
  <si>
    <t>MA061</t>
  </si>
  <si>
    <t>MO061</t>
  </si>
  <si>
    <t>E061</t>
  </si>
  <si>
    <t>MA062</t>
  </si>
  <si>
    <t>MO062</t>
  </si>
  <si>
    <t>E062</t>
  </si>
  <si>
    <t>MA063</t>
  </si>
  <si>
    <t>MO063</t>
  </si>
  <si>
    <t>E063</t>
  </si>
  <si>
    <t>MA064</t>
  </si>
  <si>
    <t>MO064</t>
  </si>
  <si>
    <t>E064</t>
  </si>
  <si>
    <t>MA065</t>
  </si>
  <si>
    <t>MO065</t>
  </si>
  <si>
    <t>E065</t>
  </si>
  <si>
    <t>MA066</t>
  </si>
  <si>
    <t>MO066</t>
  </si>
  <si>
    <t>E066</t>
  </si>
  <si>
    <t>Ropa 15 Per</t>
  </si>
  <si>
    <t>Cargas 15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</si>
</sst>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4" formatCode="_ &quot;$&quot;\ * #,##0.00_ ;_ &quot;$&quot;\ * \-#,##0.00_ ;_ &quot;$&quot;\ * &quot;-&quot;??_ ;_ @_ "/>
    <numFmt numFmtId="43" formatCode="_ * #,##0.00_ ;_ * \-#,##0.00_ ;_ * &quot;-&quot;??_ ;_ @_ "/>
    <numFmt numFmtId="164" formatCode="dd/mm/yy;@"/>
    <numFmt numFmtId="165" formatCode="_-* #,##0.00\ _€_-;\-* #,##0.00\ _€_-;_-* &quot;-&quot;??\ _€_-;_-@_-"/>
    <numFmt numFmtId="166" formatCode="0_)"/>
    <numFmt numFmtId="167" formatCode="_ * #,##0.00000000000000_ ;_ * \-#,##0.00000000000000_ ;_ * &quot;-&quot;??_ ;_ @_ "/>
    <numFmt numFmtId="168" formatCode="0.00000000000000"/>
    <numFmt numFmtId="169" formatCode="0.000%"/>
    <numFmt numFmtId="170" formatCode="[$-F800]dddd\,\ mmmm\ dd\,\ yyyy"/>
    <numFmt numFmtId="171" formatCode="_ * #,##0.0000000_ ;_ * \-#,##0.0000000_ ;_ * &quot;-&quot;??_ ;_ @_ "/>
    <numFmt numFmtId="172" formatCode="_ * #,##0.000000000_ ;_ * \-#,##0.000000000_ ;_ * &quot;-&quot;??_ ;_ @_ "/>
    <numFmt numFmtId="173" formatCode="#,000"/>
    <numFmt numFmtId="174" formatCode="\ &quot;$/&quot;\ @\ "/>
    <numFmt numFmtId="175" formatCode="&quot;$&quot;\ #,##0.00"/>
    <numFmt numFmtId="176" formatCode="0.000"/>
  </numFmts>
  <fonts count="4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8"/>
      <color indexed="8"/>
      <name val="Calibri"/>
      <family val="2"/>
    </font>
    <font>
      <sz val="10"/>
      <name val="Times New Roman"/>
      <family val="1"/>
      <charset val="204"/>
    </font>
    <font>
      <sz val="12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8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entury Gothic"/>
      <family val="2"/>
    </font>
    <font>
      <sz val="10"/>
      <color theme="1"/>
      <name val="Arial"/>
      <family val="2"/>
    </font>
    <font>
      <sz val="8"/>
      <color indexed="8"/>
      <name val="Calibri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0"/>
      <color indexed="8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color indexed="8"/>
      <name val="Calibri"/>
      <family val="2"/>
    </font>
    <font>
      <b/>
      <sz val="10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theme="0"/>
      <name val="Calibri"/>
      <family val="2"/>
    </font>
    <font>
      <b/>
      <sz val="12"/>
      <color theme="0"/>
      <name val="Calibri"/>
      <family val="2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indexed="64"/>
      </bottom>
      <diagonal/>
    </border>
  </borders>
  <cellStyleXfs count="57">
    <xf numFmtId="0" fontId="0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20" fillId="0" borderId="0"/>
    <xf numFmtId="0" fontId="7" fillId="0" borderId="0" applyNumberFormat="0" applyFill="0" applyBorder="0" applyProtection="0">
      <alignment vertical="top" wrapText="1"/>
    </xf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55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8" fillId="0" borderId="0" xfId="10" applyFont="1"/>
    <xf numFmtId="0" fontId="8" fillId="0" borderId="5" xfId="10" applyFont="1" applyBorder="1"/>
    <xf numFmtId="0" fontId="8" fillId="0" borderId="6" xfId="10" applyFont="1" applyBorder="1"/>
    <xf numFmtId="0" fontId="8" fillId="0" borderId="7" xfId="10" applyFont="1" applyBorder="1"/>
    <xf numFmtId="0" fontId="8" fillId="0" borderId="8" xfId="10" applyFont="1" applyBorder="1"/>
    <xf numFmtId="0" fontId="8" fillId="0" borderId="0" xfId="10" applyFont="1" applyBorder="1"/>
    <xf numFmtId="0" fontId="8" fillId="0" borderId="9" xfId="10" applyFont="1" applyBorder="1"/>
    <xf numFmtId="0" fontId="8" fillId="0" borderId="10" xfId="10" applyFont="1" applyBorder="1"/>
    <xf numFmtId="0" fontId="8" fillId="0" borderId="11" xfId="10" applyFont="1" applyBorder="1"/>
    <xf numFmtId="0" fontId="10" fillId="0" borderId="1" xfId="10" applyFont="1" applyBorder="1" applyAlignment="1">
      <alignment horizontal="right" vertical="center"/>
    </xf>
    <xf numFmtId="0" fontId="10" fillId="0" borderId="1" xfId="10" applyFont="1" applyBorder="1" applyAlignment="1">
      <alignment horizontal="center" vertical="center"/>
    </xf>
    <xf numFmtId="0" fontId="10" fillId="0" borderId="1" xfId="10" applyFont="1" applyBorder="1" applyAlignment="1">
      <alignment horizontal="center" vertical="center" wrapText="1"/>
    </xf>
    <xf numFmtId="0" fontId="8" fillId="0" borderId="1" xfId="10" applyFont="1" applyBorder="1"/>
    <xf numFmtId="44" fontId="8" fillId="0" borderId="1" xfId="5" applyFont="1" applyBorder="1"/>
    <xf numFmtId="44" fontId="8" fillId="0" borderId="0" xfId="10" applyNumberFormat="1" applyFont="1"/>
    <xf numFmtId="44" fontId="8" fillId="0" borderId="0" xfId="5" applyFont="1"/>
    <xf numFmtId="0" fontId="8" fillId="0" borderId="12" xfId="10" applyFont="1" applyBorder="1"/>
    <xf numFmtId="0" fontId="0" fillId="0" borderId="1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9" fillId="0" borderId="8" xfId="10" applyFont="1" applyBorder="1" applyAlignment="1">
      <alignment vertical="center"/>
    </xf>
    <xf numFmtId="0" fontId="9" fillId="0" borderId="9" xfId="10" applyFont="1" applyBorder="1" applyAlignment="1">
      <alignment vertical="center"/>
    </xf>
    <xf numFmtId="0" fontId="11" fillId="0" borderId="0" xfId="0" applyFont="1" applyFill="1" applyBorder="1"/>
    <xf numFmtId="0" fontId="11" fillId="0" borderId="0" xfId="0" applyFont="1" applyFill="1" applyBorder="1" applyAlignment="1">
      <alignment vertical="top" wrapText="1"/>
    </xf>
    <xf numFmtId="0" fontId="11" fillId="0" borderId="0" xfId="0" quotePrefix="1" applyFont="1" applyFill="1" applyBorder="1" applyAlignment="1">
      <alignment vertical="top" wrapText="1"/>
    </xf>
    <xf numFmtId="0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left" vertical="top" wrapText="1"/>
    </xf>
    <xf numFmtId="0" fontId="12" fillId="0" borderId="0" xfId="0" quotePrefix="1" applyFont="1" applyFill="1" applyBorder="1" applyAlignment="1">
      <alignment horizontal="left"/>
    </xf>
    <xf numFmtId="0" fontId="12" fillId="0" borderId="0" xfId="0" applyFont="1" applyFill="1" applyBorder="1"/>
    <xf numFmtId="0" fontId="12" fillId="0" borderId="0" xfId="0" applyNumberFormat="1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top" wrapText="1"/>
    </xf>
    <xf numFmtId="0" fontId="13" fillId="0" borderId="0" xfId="0" quotePrefix="1" applyFont="1" applyFill="1" applyBorder="1" applyAlignment="1">
      <alignment horizontal="center"/>
    </xf>
    <xf numFmtId="0" fontId="14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7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wrapText="1"/>
    </xf>
    <xf numFmtId="0" fontId="3" fillId="0" borderId="0" xfId="0" applyFont="1" applyAlignment="1">
      <alignment horizontal="right"/>
    </xf>
    <xf numFmtId="0" fontId="15" fillId="0" borderId="0" xfId="0" applyNumberFormat="1" applyFont="1" applyFill="1" applyBorder="1" applyAlignment="1">
      <alignment vertical="top" wrapText="1"/>
    </xf>
    <xf numFmtId="0" fontId="15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horizontal="left" vertical="top" wrapText="1"/>
    </xf>
    <xf numFmtId="0" fontId="15" fillId="0" borderId="0" xfId="0" applyNumberFormat="1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center" wrapText="1"/>
    </xf>
    <xf numFmtId="44" fontId="0" fillId="0" borderId="0" xfId="0" applyNumberForma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5" fillId="0" borderId="0" xfId="4" applyNumberFormat="1" applyFont="1" applyAlignment="1">
      <alignment horizontal="center" vertical="center"/>
    </xf>
    <xf numFmtId="44" fontId="5" fillId="0" borderId="0" xfId="4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44" fontId="21" fillId="0" borderId="0" xfId="4" applyFont="1"/>
    <xf numFmtId="164" fontId="21" fillId="0" borderId="0" xfId="0" applyNumberFormat="1" applyFont="1"/>
    <xf numFmtId="0" fontId="21" fillId="0" borderId="0" xfId="0" applyFont="1" applyAlignment="1"/>
    <xf numFmtId="0" fontId="19" fillId="0" borderId="0" xfId="0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10" fontId="21" fillId="0" borderId="4" xfId="23" applyNumberFormat="1" applyFont="1" applyBorder="1"/>
    <xf numFmtId="10" fontId="21" fillId="0" borderId="13" xfId="23" applyNumberFormat="1" applyFont="1" applyBorder="1"/>
    <xf numFmtId="44" fontId="21" fillId="0" borderId="13" xfId="4" applyFont="1" applyBorder="1"/>
    <xf numFmtId="10" fontId="21" fillId="4" borderId="13" xfId="23" applyNumberFormat="1" applyFont="1" applyFill="1" applyBorder="1"/>
    <xf numFmtId="10" fontId="21" fillId="0" borderId="13" xfId="23" applyNumberFormat="1" applyFont="1" applyFill="1" applyBorder="1"/>
    <xf numFmtId="44" fontId="21" fillId="4" borderId="14" xfId="4" applyFont="1" applyFill="1" applyBorder="1"/>
    <xf numFmtId="44" fontId="21" fillId="3" borderId="0" xfId="4" applyFont="1" applyFill="1"/>
    <xf numFmtId="44" fontId="21" fillId="3" borderId="0" xfId="0" applyNumberFormat="1" applyFont="1" applyFill="1"/>
    <xf numFmtId="44" fontId="21" fillId="0" borderId="0" xfId="0" applyNumberFormat="1" applyFont="1"/>
    <xf numFmtId="44" fontId="21" fillId="0" borderId="1" xfId="0" applyNumberFormat="1" applyFont="1" applyBorder="1"/>
    <xf numFmtId="43" fontId="21" fillId="0" borderId="0" xfId="1" applyFont="1"/>
    <xf numFmtId="43" fontId="5" fillId="0" borderId="0" xfId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44" fontId="21" fillId="2" borderId="1" xfId="4" applyFont="1" applyFill="1" applyBorder="1" applyAlignment="1">
      <alignment horizontal="center" vertical="center" wrapText="1"/>
    </xf>
    <xf numFmtId="164" fontId="21" fillId="2" borderId="1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43" fontId="5" fillId="0" borderId="17" xfId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43" fontId="5" fillId="0" borderId="18" xfId="1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0" fillId="0" borderId="0" xfId="27" applyFont="1" applyFill="1" applyBorder="1" applyAlignment="1" applyProtection="1">
      <alignment horizontal="left" vertical="center" wrapText="1"/>
    </xf>
    <xf numFmtId="0" fontId="20" fillId="0" borderId="0" xfId="20" applyFont="1" applyFill="1" applyBorder="1" applyAlignment="1" applyProtection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44" fontId="8" fillId="0" borderId="1" xfId="4" applyFont="1" applyBorder="1"/>
    <xf numFmtId="44" fontId="8" fillId="0" borderId="1" xfId="10" applyNumberFormat="1" applyFont="1" applyBorder="1"/>
    <xf numFmtId="0" fontId="5" fillId="0" borderId="0" xfId="0" applyFont="1" applyAlignment="1">
      <alignment horizontal="right"/>
    </xf>
    <xf numFmtId="43" fontId="5" fillId="0" borderId="0" xfId="1" applyFont="1" applyAlignment="1">
      <alignment horizontal="center" vertical="center"/>
    </xf>
    <xf numFmtId="0" fontId="5" fillId="7" borderId="1" xfId="0" applyFont="1" applyFill="1" applyBorder="1" applyAlignment="1">
      <alignment horizontal="right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43" fontId="5" fillId="7" borderId="1" xfId="1" applyFont="1" applyFill="1" applyBorder="1" applyAlignment="1">
      <alignment horizontal="center" vertical="center"/>
    </xf>
    <xf numFmtId="0" fontId="5" fillId="7" borderId="1" xfId="4" applyNumberFormat="1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0" borderId="23" xfId="0" applyFont="1" applyBorder="1" applyAlignment="1">
      <alignment horizontal="right"/>
    </xf>
    <xf numFmtId="0" fontId="5" fillId="0" borderId="2" xfId="0" applyFont="1" applyFill="1" applyBorder="1"/>
    <xf numFmtId="0" fontId="5" fillId="0" borderId="2" xfId="0" applyFont="1" applyFill="1" applyBorder="1" applyAlignment="1">
      <alignment horizontal="center"/>
    </xf>
    <xf numFmtId="0" fontId="5" fillId="0" borderId="16" xfId="0" applyFont="1" applyBorder="1" applyAlignment="1">
      <alignment horizontal="right"/>
    </xf>
    <xf numFmtId="44" fontId="5" fillId="0" borderId="19" xfId="4" applyFont="1" applyBorder="1" applyAlignment="1">
      <alignment horizontal="center" vertical="center"/>
    </xf>
    <xf numFmtId="44" fontId="5" fillId="0" borderId="20" xfId="4" applyFont="1" applyBorder="1" applyAlignment="1">
      <alignment horizontal="center" vertical="center"/>
    </xf>
    <xf numFmtId="0" fontId="5" fillId="0" borderId="18" xfId="0" applyFont="1" applyBorder="1"/>
    <xf numFmtId="0" fontId="5" fillId="0" borderId="18" xfId="0" applyFont="1" applyBorder="1" applyAlignment="1">
      <alignment horizontal="center" vertical="center"/>
    </xf>
    <xf numFmtId="43" fontId="5" fillId="0" borderId="18" xfId="1" applyFont="1" applyBorder="1" applyAlignment="1">
      <alignment horizontal="center" vertical="center"/>
    </xf>
    <xf numFmtId="0" fontId="5" fillId="0" borderId="18" xfId="4" applyNumberFormat="1" applyFont="1" applyBorder="1" applyAlignment="1">
      <alignment horizontal="center" vertical="center"/>
    </xf>
    <xf numFmtId="44" fontId="5" fillId="0" borderId="24" xfId="4" applyFont="1" applyBorder="1" applyAlignment="1">
      <alignment horizontal="center" vertical="center"/>
    </xf>
    <xf numFmtId="0" fontId="26" fillId="0" borderId="18" xfId="0" applyFont="1" applyBorder="1"/>
    <xf numFmtId="43" fontId="5" fillId="0" borderId="1" xfId="1" applyFont="1" applyBorder="1" applyAlignment="1">
      <alignment horizontal="center"/>
    </xf>
    <xf numFmtId="43" fontId="5" fillId="0" borderId="0" xfId="1" applyFont="1" applyAlignment="1">
      <alignment horizontal="center"/>
    </xf>
    <xf numFmtId="44" fontId="5" fillId="0" borderId="1" xfId="4" applyFont="1" applyFill="1" applyBorder="1"/>
    <xf numFmtId="43" fontId="21" fillId="0" borderId="0" xfId="0" applyNumberFormat="1" applyFont="1"/>
    <xf numFmtId="14" fontId="21" fillId="0" borderId="0" xfId="0" applyNumberFormat="1" applyFont="1"/>
    <xf numFmtId="43" fontId="21" fillId="0" borderId="0" xfId="1" applyNumberFormat="1" applyFont="1"/>
    <xf numFmtId="2" fontId="21" fillId="0" borderId="0" xfId="0" applyNumberFormat="1" applyFont="1"/>
    <xf numFmtId="44" fontId="21" fillId="0" borderId="1" xfId="4" applyFont="1" applyBorder="1"/>
    <xf numFmtId="43" fontId="21" fillId="0" borderId="0" xfId="53" applyFont="1"/>
    <xf numFmtId="10" fontId="21" fillId="0" borderId="0" xfId="0" applyNumberFormat="1" applyFont="1"/>
    <xf numFmtId="10" fontId="21" fillId="0" borderId="0" xfId="54" applyNumberFormat="1" applyFont="1"/>
    <xf numFmtId="43" fontId="27" fillId="2" borderId="26" xfId="53" applyFont="1" applyFill="1" applyBorder="1" applyProtection="1"/>
    <xf numFmtId="0" fontId="27" fillId="2" borderId="27" xfId="0" applyFont="1" applyFill="1" applyBorder="1"/>
    <xf numFmtId="43" fontId="27" fillId="2" borderId="27" xfId="53" applyFont="1" applyFill="1" applyBorder="1" applyProtection="1"/>
    <xf numFmtId="166" fontId="27" fillId="2" borderId="28" xfId="0" applyNumberFormat="1" applyFont="1" applyFill="1" applyBorder="1" applyProtection="1"/>
    <xf numFmtId="43" fontId="28" fillId="0" borderId="20" xfId="53" applyFont="1" applyBorder="1" applyProtection="1"/>
    <xf numFmtId="0" fontId="28" fillId="0" borderId="3" xfId="0" applyFont="1" applyBorder="1" applyAlignment="1" applyProtection="1">
      <alignment horizontal="left"/>
    </xf>
    <xf numFmtId="43" fontId="28" fillId="0" borderId="0" xfId="53" applyFont="1" applyBorder="1" applyAlignment="1" applyProtection="1">
      <alignment horizontal="left"/>
    </xf>
    <xf numFmtId="0" fontId="28" fillId="0" borderId="29" xfId="0" applyFont="1" applyBorder="1" applyAlignment="1" applyProtection="1">
      <alignment horizontal="left"/>
    </xf>
    <xf numFmtId="43" fontId="28" fillId="0" borderId="3" xfId="53" applyFont="1" applyBorder="1" applyAlignment="1" applyProtection="1">
      <alignment horizontal="left"/>
    </xf>
    <xf numFmtId="43" fontId="28" fillId="0" borderId="3" xfId="0" applyNumberFormat="1" applyFont="1" applyBorder="1" applyAlignment="1" applyProtection="1">
      <alignment horizontal="left"/>
    </xf>
    <xf numFmtId="43" fontId="28" fillId="0" borderId="3" xfId="53" applyFont="1" applyBorder="1"/>
    <xf numFmtId="0" fontId="28" fillId="0" borderId="3" xfId="0" applyFont="1" applyBorder="1"/>
    <xf numFmtId="43" fontId="29" fillId="0" borderId="0" xfId="53" applyFont="1" applyBorder="1" applyAlignment="1" applyProtection="1">
      <alignment horizontal="left"/>
    </xf>
    <xf numFmtId="0" fontId="29" fillId="0" borderId="29" xfId="0" applyFont="1" applyBorder="1" applyAlignment="1" applyProtection="1">
      <alignment horizontal="left"/>
    </xf>
    <xf numFmtId="10" fontId="28" fillId="0" borderId="3" xfId="54" applyNumberFormat="1" applyFont="1" applyBorder="1" applyAlignment="1" applyProtection="1">
      <alignment horizontal="center"/>
    </xf>
    <xf numFmtId="44" fontId="21" fillId="0" borderId="0" xfId="55" applyFont="1"/>
    <xf numFmtId="43" fontId="28" fillId="0" borderId="3" xfId="53" applyFont="1" applyBorder="1" applyAlignment="1" applyProtection="1">
      <alignment horizontal="center"/>
    </xf>
    <xf numFmtId="10" fontId="28" fillId="0" borderId="29" xfId="0" applyNumberFormat="1" applyFont="1" applyBorder="1" applyAlignment="1" applyProtection="1">
      <alignment horizontal="left"/>
    </xf>
    <xf numFmtId="44" fontId="28" fillId="0" borderId="0" xfId="55" applyFont="1" applyBorder="1" applyAlignment="1" applyProtection="1">
      <alignment horizontal="left"/>
    </xf>
    <xf numFmtId="43" fontId="27" fillId="0" borderId="19" xfId="53" applyFont="1" applyFill="1" applyBorder="1"/>
    <xf numFmtId="43" fontId="30" fillId="0" borderId="0" xfId="53" applyFont="1" applyFill="1" applyBorder="1" applyAlignment="1" applyProtection="1"/>
    <xf numFmtId="43" fontId="27" fillId="2" borderId="30" xfId="53" applyFont="1" applyFill="1" applyBorder="1" applyAlignment="1" applyProtection="1">
      <alignment horizontal="centerContinuous"/>
    </xf>
    <xf numFmtId="0" fontId="27" fillId="2" borderId="31" xfId="0" applyFont="1" applyFill="1" applyBorder="1" applyAlignment="1" applyProtection="1"/>
    <xf numFmtId="43" fontId="27" fillId="2" borderId="32" xfId="53" applyFont="1" applyFill="1" applyBorder="1" applyAlignment="1" applyProtection="1"/>
    <xf numFmtId="0" fontId="27" fillId="2" borderId="33" xfId="0" applyFont="1" applyFill="1" applyBorder="1" applyAlignment="1" applyProtection="1"/>
    <xf numFmtId="43" fontId="28" fillId="0" borderId="26" xfId="53" applyFont="1" applyBorder="1" applyAlignment="1"/>
    <xf numFmtId="43" fontId="28" fillId="0" borderId="27" xfId="53" applyFont="1" applyBorder="1" applyAlignment="1"/>
    <xf numFmtId="0" fontId="28" fillId="0" borderId="28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3" fontId="5" fillId="0" borderId="0" xfId="1" applyFont="1" applyFill="1" applyBorder="1" applyAlignment="1">
      <alignment horizontal="center"/>
    </xf>
    <xf numFmtId="0" fontId="5" fillId="0" borderId="0" xfId="4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21" fillId="0" borderId="0" xfId="0" applyFont="1" applyFill="1" applyBorder="1"/>
    <xf numFmtId="44" fontId="5" fillId="0" borderId="0" xfId="5" applyFont="1" applyFill="1" applyBorder="1"/>
    <xf numFmtId="10" fontId="5" fillId="0" borderId="0" xfId="22" applyNumberFormat="1" applyFont="1" applyFill="1" applyBorder="1"/>
    <xf numFmtId="44" fontId="31" fillId="0" borderId="0" xfId="0" applyNumberFormat="1" applyFont="1" applyFill="1" applyBorder="1"/>
    <xf numFmtId="44" fontId="21" fillId="0" borderId="0" xfId="0" applyNumberFormat="1" applyFont="1" applyFill="1" applyBorder="1"/>
    <xf numFmtId="10" fontId="21" fillId="0" borderId="0" xfId="23" applyNumberFormat="1" applyFont="1"/>
    <xf numFmtId="10" fontId="28" fillId="0" borderId="3" xfId="23" applyNumberFormat="1" applyFont="1" applyBorder="1" applyAlignment="1" applyProtection="1">
      <alignment horizontal="left"/>
    </xf>
    <xf numFmtId="44" fontId="21" fillId="0" borderId="0" xfId="4" applyFont="1" applyFill="1"/>
    <xf numFmtId="44" fontId="5" fillId="0" borderId="1" xfId="4" applyFont="1" applyFill="1" applyBorder="1" applyAlignment="1">
      <alignment horizontal="center"/>
    </xf>
    <xf numFmtId="0" fontId="23" fillId="0" borderId="0" xfId="0" applyFont="1" applyAlignment="1">
      <alignment horizontal="right"/>
    </xf>
    <xf numFmtId="0" fontId="23" fillId="0" borderId="0" xfId="0" applyFont="1"/>
    <xf numFmtId="0" fontId="23" fillId="0" borderId="0" xfId="0" applyFont="1" applyAlignment="1">
      <alignment horizontal="center"/>
    </xf>
    <xf numFmtId="2" fontId="28" fillId="0" borderId="1" xfId="0" applyNumberFormat="1" applyFont="1" applyFill="1" applyBorder="1" applyAlignment="1">
      <alignment horizontal="center" vertical="center"/>
    </xf>
    <xf numFmtId="0" fontId="28" fillId="0" borderId="1" xfId="27" applyFont="1" applyFill="1" applyBorder="1" applyAlignment="1" applyProtection="1">
      <alignment horizontal="center" vertical="center"/>
    </xf>
    <xf numFmtId="0" fontId="28" fillId="0" borderId="1" xfId="27" applyFont="1" applyFill="1" applyBorder="1" applyAlignment="1" applyProtection="1">
      <alignment vertical="center" wrapText="1"/>
    </xf>
    <xf numFmtId="0" fontId="33" fillId="0" borderId="0" xfId="0" applyFont="1" applyAlignment="1">
      <alignment horizontal="right"/>
    </xf>
    <xf numFmtId="0" fontId="33" fillId="0" borderId="0" xfId="0" applyFont="1"/>
    <xf numFmtId="167" fontId="0" fillId="0" borderId="0" xfId="1" applyNumberFormat="1" applyFont="1"/>
    <xf numFmtId="0" fontId="0" fillId="2" borderId="0" xfId="0" applyFill="1" applyBorder="1" applyAlignment="1">
      <alignment horizontal="center" vertical="center" wrapText="1"/>
    </xf>
    <xf numFmtId="2" fontId="19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28" fillId="0" borderId="1" xfId="4" applyNumberFormat="1" applyFont="1" applyFill="1" applyBorder="1" applyAlignment="1">
      <alignment horizontal="center" vertical="center"/>
    </xf>
    <xf numFmtId="2" fontId="28" fillId="0" borderId="0" xfId="4" applyNumberFormat="1" applyFont="1" applyFill="1" applyBorder="1" applyAlignment="1">
      <alignment horizontal="center" vertical="center"/>
    </xf>
    <xf numFmtId="0" fontId="0" fillId="0" borderId="0" xfId="0" applyBorder="1"/>
    <xf numFmtId="0" fontId="32" fillId="0" borderId="31" xfId="0" applyFont="1" applyBorder="1" applyAlignment="1">
      <alignment horizontal="center" vertical="center"/>
    </xf>
    <xf numFmtId="0" fontId="32" fillId="0" borderId="34" xfId="0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9" borderId="35" xfId="0" applyFont="1" applyFill="1" applyBorder="1"/>
    <xf numFmtId="0" fontId="21" fillId="9" borderId="36" xfId="0" applyFont="1" applyFill="1" applyBorder="1"/>
    <xf numFmtId="0" fontId="21" fillId="9" borderId="1" xfId="0" applyFont="1" applyFill="1" applyBorder="1"/>
    <xf numFmtId="0" fontId="21" fillId="9" borderId="23" xfId="0" applyFont="1" applyFill="1" applyBorder="1" applyAlignment="1">
      <alignment horizontal="center"/>
    </xf>
    <xf numFmtId="0" fontId="21" fillId="9" borderId="18" xfId="0" applyFont="1" applyFill="1" applyBorder="1" applyAlignment="1">
      <alignment horizontal="center"/>
    </xf>
    <xf numFmtId="0" fontId="21" fillId="9" borderId="24" xfId="0" applyFont="1" applyFill="1" applyBorder="1"/>
    <xf numFmtId="0" fontId="21" fillId="0" borderId="3" xfId="0" applyFont="1" applyFill="1" applyBorder="1" applyAlignment="1"/>
    <xf numFmtId="0" fontId="21" fillId="0" borderId="0" xfId="0" applyFont="1" applyFill="1" applyBorder="1" applyAlignment="1">
      <alignment horizontal="center"/>
    </xf>
    <xf numFmtId="0" fontId="21" fillId="0" borderId="1" xfId="0" applyFont="1" applyBorder="1"/>
    <xf numFmtId="0" fontId="21" fillId="0" borderId="4" xfId="0" applyFont="1" applyBorder="1" applyAlignment="1">
      <alignment horizontal="center"/>
    </xf>
    <xf numFmtId="0" fontId="21" fillId="0" borderId="16" xfId="0" applyFont="1" applyBorder="1"/>
    <xf numFmtId="0" fontId="21" fillId="0" borderId="17" xfId="0" applyFont="1" applyBorder="1"/>
    <xf numFmtId="0" fontId="21" fillId="0" borderId="19" xfId="0" applyFont="1" applyBorder="1"/>
    <xf numFmtId="2" fontId="21" fillId="0" borderId="3" xfId="0" applyNumberFormat="1" applyFont="1" applyFill="1" applyBorder="1" applyAlignment="1"/>
    <xf numFmtId="2" fontId="21" fillId="0" borderId="0" xfId="0" applyNumberFormat="1" applyFont="1" applyFill="1" applyBorder="1" applyAlignment="1"/>
    <xf numFmtId="0" fontId="21" fillId="0" borderId="15" xfId="0" applyFont="1" applyBorder="1"/>
    <xf numFmtId="0" fontId="21" fillId="0" borderId="0" xfId="0" applyFont="1" applyBorder="1"/>
    <xf numFmtId="0" fontId="21" fillId="0" borderId="20" xfId="0" applyFont="1" applyBorder="1"/>
    <xf numFmtId="0" fontId="21" fillId="0" borderId="37" xfId="0" applyFont="1" applyBorder="1"/>
    <xf numFmtId="0" fontId="21" fillId="0" borderId="38" xfId="0" applyFont="1" applyBorder="1" applyAlignment="1">
      <alignment horizontal="center"/>
    </xf>
    <xf numFmtId="2" fontId="21" fillId="0" borderId="25" xfId="0" applyNumberFormat="1" applyFont="1" applyFill="1" applyBorder="1" applyAlignment="1"/>
    <xf numFmtId="0" fontId="21" fillId="0" borderId="3" xfId="0" applyFont="1" applyBorder="1"/>
    <xf numFmtId="0" fontId="21" fillId="0" borderId="23" xfId="0" applyFont="1" applyBorder="1"/>
    <xf numFmtId="0" fontId="21" fillId="0" borderId="18" xfId="0" applyFont="1" applyBorder="1"/>
    <xf numFmtId="0" fontId="21" fillId="0" borderId="24" xfId="0" applyFont="1" applyBorder="1"/>
    <xf numFmtId="2" fontId="21" fillId="9" borderId="1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1" fillId="0" borderId="2" xfId="0" applyNumberFormat="1" applyFont="1" applyFill="1" applyBorder="1" applyAlignment="1"/>
    <xf numFmtId="0" fontId="21" fillId="0" borderId="0" xfId="0" applyFont="1" applyAlignment="1">
      <alignment horizontal="right"/>
    </xf>
    <xf numFmtId="0" fontId="21" fillId="8" borderId="1" xfId="0" applyFont="1" applyFill="1" applyBorder="1"/>
    <xf numFmtId="0" fontId="21" fillId="8" borderId="4" xfId="0" applyFont="1" applyFill="1" applyBorder="1" applyAlignment="1">
      <alignment horizontal="center"/>
    </xf>
    <xf numFmtId="0" fontId="21" fillId="8" borderId="15" xfId="0" applyFont="1" applyFill="1" applyBorder="1"/>
    <xf numFmtId="0" fontId="21" fillId="8" borderId="3" xfId="0" applyFont="1" applyFill="1" applyBorder="1"/>
    <xf numFmtId="0" fontId="21" fillId="9" borderId="36" xfId="0" applyFont="1" applyFill="1" applyBorder="1" applyAlignment="1">
      <alignment horizontal="center"/>
    </xf>
    <xf numFmtId="0" fontId="21" fillId="9" borderId="4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21" fillId="0" borderId="3" xfId="0" applyFont="1" applyFill="1" applyBorder="1"/>
    <xf numFmtId="0" fontId="32" fillId="8" borderId="14" xfId="0" applyFont="1" applyFill="1" applyBorder="1" applyAlignment="1">
      <alignment horizontal="center" vertical="center"/>
    </xf>
    <xf numFmtId="0" fontId="21" fillId="0" borderId="25" xfId="0" applyFont="1" applyBorder="1"/>
    <xf numFmtId="0" fontId="21" fillId="0" borderId="23" xfId="0" applyFont="1" applyBorder="1" applyAlignment="1">
      <alignment horizontal="center"/>
    </xf>
    <xf numFmtId="0" fontId="21" fillId="0" borderId="2" xfId="0" applyFont="1" applyBorder="1"/>
    <xf numFmtId="0" fontId="21" fillId="0" borderId="16" xfId="0" applyFont="1" applyBorder="1" applyAlignment="1">
      <alignment horizontal="center"/>
    </xf>
    <xf numFmtId="0" fontId="21" fillId="0" borderId="37" xfId="0" applyFont="1" applyBorder="1" applyAlignment="1">
      <alignment horizontal="center"/>
    </xf>
    <xf numFmtId="2" fontId="19" fillId="0" borderId="3" xfId="0" applyNumberFormat="1" applyFont="1" applyFill="1" applyBorder="1" applyAlignment="1">
      <alignment horizontal="center" vertical="center"/>
    </xf>
    <xf numFmtId="2" fontId="28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44" fontId="5" fillId="0" borderId="3" xfId="4" applyFont="1" applyFill="1" applyBorder="1" applyAlignment="1">
      <alignment horizontal="center" vertical="center"/>
    </xf>
    <xf numFmtId="0" fontId="21" fillId="10" borderId="1" xfId="0" applyFont="1" applyFill="1" applyBorder="1"/>
    <xf numFmtId="43" fontId="28" fillId="11" borderId="0" xfId="53" applyFont="1" applyFill="1" applyBorder="1" applyAlignment="1" applyProtection="1">
      <alignment horizontal="left"/>
    </xf>
    <xf numFmtId="10" fontId="28" fillId="12" borderId="3" xfId="54" applyNumberFormat="1" applyFont="1" applyFill="1" applyBorder="1" applyAlignment="1" applyProtection="1">
      <alignment horizontal="center"/>
    </xf>
    <xf numFmtId="0" fontId="0" fillId="4" borderId="0" xfId="0" applyFill="1" applyBorder="1" applyAlignment="1">
      <alignment horizontal="center"/>
    </xf>
    <xf numFmtId="43" fontId="8" fillId="0" borderId="1" xfId="1" applyFont="1" applyBorder="1"/>
    <xf numFmtId="44" fontId="8" fillId="0" borderId="0" xfId="5" applyFont="1" applyBorder="1"/>
    <xf numFmtId="0" fontId="5" fillId="13" borderId="16" xfId="0" applyFont="1" applyFill="1" applyBorder="1" applyAlignment="1">
      <alignment horizontal="right"/>
    </xf>
    <xf numFmtId="0" fontId="5" fillId="13" borderId="2" xfId="0" applyFont="1" applyFill="1" applyBorder="1"/>
    <xf numFmtId="0" fontId="5" fillId="13" borderId="2" xfId="0" applyFont="1" applyFill="1" applyBorder="1" applyAlignment="1">
      <alignment horizontal="center"/>
    </xf>
    <xf numFmtId="43" fontId="5" fillId="13" borderId="1" xfId="1" applyFont="1" applyFill="1" applyBorder="1" applyAlignment="1">
      <alignment horizontal="center"/>
    </xf>
    <xf numFmtId="44" fontId="5" fillId="13" borderId="1" xfId="4" applyFont="1" applyFill="1" applyBorder="1" applyAlignment="1">
      <alignment horizontal="center"/>
    </xf>
    <xf numFmtId="0" fontId="5" fillId="13" borderId="4" xfId="0" applyFont="1" applyFill="1" applyBorder="1" applyAlignment="1">
      <alignment horizontal="right"/>
    </xf>
    <xf numFmtId="0" fontId="5" fillId="13" borderId="1" xfId="0" applyFont="1" applyFill="1" applyBorder="1"/>
    <xf numFmtId="0" fontId="5" fillId="13" borderId="1" xfId="0" applyFont="1" applyFill="1" applyBorder="1" applyAlignment="1">
      <alignment horizontal="center"/>
    </xf>
    <xf numFmtId="0" fontId="5" fillId="13" borderId="16" xfId="0" applyFont="1" applyFill="1" applyBorder="1"/>
    <xf numFmtId="43" fontId="5" fillId="13" borderId="2" xfId="1" applyFont="1" applyFill="1" applyBorder="1" applyAlignment="1">
      <alignment horizontal="center"/>
    </xf>
    <xf numFmtId="43" fontId="5" fillId="0" borderId="25" xfId="1" applyFont="1" applyBorder="1" applyAlignment="1">
      <alignment horizontal="center"/>
    </xf>
    <xf numFmtId="44" fontId="5" fillId="0" borderId="25" xfId="4" applyFont="1" applyFill="1" applyBorder="1" applyAlignment="1">
      <alignment horizontal="center"/>
    </xf>
    <xf numFmtId="44" fontId="5" fillId="0" borderId="25" xfId="4" applyFont="1" applyFill="1" applyBorder="1"/>
    <xf numFmtId="0" fontId="5" fillId="13" borderId="4" xfId="0" applyFont="1" applyFill="1" applyBorder="1" applyAlignment="1">
      <alignment horizontal="center"/>
    </xf>
    <xf numFmtId="43" fontId="5" fillId="13" borderId="13" xfId="1" applyFont="1" applyFill="1" applyBorder="1" applyAlignment="1">
      <alignment horizontal="center"/>
    </xf>
    <xf numFmtId="44" fontId="5" fillId="13" borderId="13" xfId="4" applyFont="1" applyFill="1" applyBorder="1" applyAlignment="1">
      <alignment horizontal="center"/>
    </xf>
    <xf numFmtId="44" fontId="5" fillId="13" borderId="13" xfId="4" applyFont="1" applyFill="1" applyBorder="1"/>
    <xf numFmtId="44" fontId="21" fillId="12" borderId="0" xfId="4" applyFont="1" applyFill="1"/>
    <xf numFmtId="44" fontId="5" fillId="13" borderId="4" xfId="4" applyFont="1" applyFill="1" applyBorder="1"/>
    <xf numFmtId="44" fontId="5" fillId="13" borderId="16" xfId="4" applyFont="1" applyFill="1" applyBorder="1"/>
    <xf numFmtId="44" fontId="5" fillId="7" borderId="2" xfId="4" applyFont="1" applyFill="1" applyBorder="1" applyAlignment="1">
      <alignment horizontal="center" vertical="center"/>
    </xf>
    <xf numFmtId="44" fontId="5" fillId="13" borderId="39" xfId="4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44" fontId="5" fillId="13" borderId="1" xfId="4" applyFont="1" applyFill="1" applyBorder="1"/>
    <xf numFmtId="0" fontId="5" fillId="11" borderId="2" xfId="0" applyFont="1" applyFill="1" applyBorder="1"/>
    <xf numFmtId="0" fontId="21" fillId="0" borderId="0" xfId="0" applyFont="1" applyFill="1" applyAlignment="1"/>
    <xf numFmtId="2" fontId="28" fillId="0" borderId="1" xfId="9" applyNumberFormat="1" applyFont="1" applyFill="1" applyBorder="1" applyAlignment="1">
      <alignment horizontal="center" vertical="center"/>
    </xf>
    <xf numFmtId="10" fontId="5" fillId="0" borderId="0" xfId="23" applyNumberFormat="1" applyFont="1" applyAlignment="1">
      <alignment horizontal="center" vertical="center"/>
    </xf>
    <xf numFmtId="0" fontId="21" fillId="0" borderId="0" xfId="0" applyFont="1" applyFill="1"/>
    <xf numFmtId="0" fontId="5" fillId="13" borderId="2" xfId="0" applyFont="1" applyFill="1" applyBorder="1" applyAlignment="1">
      <alignment wrapText="1"/>
    </xf>
    <xf numFmtId="44" fontId="8" fillId="0" borderId="4" xfId="5" applyFont="1" applyBorder="1"/>
    <xf numFmtId="0" fontId="8" fillId="0" borderId="39" xfId="10" applyFont="1" applyBorder="1"/>
    <xf numFmtId="44" fontId="31" fillId="13" borderId="39" xfId="4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center"/>
    </xf>
    <xf numFmtId="44" fontId="5" fillId="0" borderId="4" xfId="4" applyFont="1" applyFill="1" applyBorder="1" applyAlignment="1">
      <alignment horizontal="center"/>
    </xf>
    <xf numFmtId="43" fontId="5" fillId="0" borderId="13" xfId="1" applyFont="1" applyFill="1" applyBorder="1" applyAlignment="1">
      <alignment horizontal="center"/>
    </xf>
    <xf numFmtId="44" fontId="5" fillId="0" borderId="23" xfId="4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3" fillId="0" borderId="0" xfId="0" applyFont="1" applyBorder="1" applyAlignment="1"/>
    <xf numFmtId="0" fontId="5" fillId="0" borderId="13" xfId="0" applyFont="1" applyFill="1" applyBorder="1" applyAlignment="1">
      <alignment horizontal="center"/>
    </xf>
    <xf numFmtId="43" fontId="5" fillId="0" borderId="25" xfId="1" applyFont="1" applyFill="1" applyBorder="1" applyAlignment="1">
      <alignment horizontal="center"/>
    </xf>
    <xf numFmtId="44" fontId="21" fillId="0" borderId="0" xfId="9" applyFont="1"/>
    <xf numFmtId="0" fontId="21" fillId="0" borderId="8" xfId="0" applyFont="1" applyBorder="1"/>
    <xf numFmtId="0" fontId="21" fillId="0" borderId="9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8" fillId="0" borderId="1" xfId="27" applyFont="1" applyFill="1" applyBorder="1" applyAlignment="1" applyProtection="1">
      <alignment horizontal="left" vertical="center" wrapText="1"/>
    </xf>
    <xf numFmtId="0" fontId="28" fillId="0" borderId="1" xfId="20" applyFont="1" applyFill="1" applyBorder="1" applyAlignment="1" applyProtection="1">
      <alignment horizontal="center" vertical="center"/>
    </xf>
    <xf numFmtId="0" fontId="28" fillId="11" borderId="29" xfId="0" applyFont="1" applyFill="1" applyBorder="1" applyAlignment="1" applyProtection="1">
      <alignment horizontal="left"/>
    </xf>
    <xf numFmtId="0" fontId="8" fillId="0" borderId="1" xfId="10" applyFont="1" applyBorder="1" applyAlignment="1">
      <alignment horizontal="center"/>
    </xf>
    <xf numFmtId="44" fontId="10" fillId="0" borderId="1" xfId="4" applyFont="1" applyBorder="1"/>
    <xf numFmtId="170" fontId="21" fillId="0" borderId="0" xfId="0" applyNumberFormat="1" applyFont="1"/>
    <xf numFmtId="44" fontId="21" fillId="8" borderId="0" xfId="4" applyFont="1" applyFill="1"/>
    <xf numFmtId="2" fontId="8" fillId="0" borderId="1" xfId="10" applyNumberFormat="1" applyFont="1" applyBorder="1"/>
    <xf numFmtId="0" fontId="0" fillId="0" borderId="4" xfId="0" applyBorder="1" applyAlignment="1"/>
    <xf numFmtId="2" fontId="21" fillId="12" borderId="0" xfId="0" applyNumberFormat="1" applyFont="1" applyFill="1"/>
    <xf numFmtId="43" fontId="28" fillId="12" borderId="0" xfId="53" applyFont="1" applyFill="1" applyBorder="1" applyAlignment="1" applyProtection="1">
      <alignment horizontal="left"/>
    </xf>
    <xf numFmtId="172" fontId="0" fillId="0" borderId="0" xfId="1" applyNumberFormat="1" applyFont="1"/>
    <xf numFmtId="44" fontId="5" fillId="0" borderId="0" xfId="0" applyNumberFormat="1" applyFont="1"/>
    <xf numFmtId="43" fontId="28" fillId="14" borderId="0" xfId="53" applyFont="1" applyFill="1" applyBorder="1" applyAlignment="1" applyProtection="1">
      <alignment horizontal="left"/>
    </xf>
    <xf numFmtId="0" fontId="21" fillId="11" borderId="0" xfId="0" applyFont="1" applyFill="1"/>
    <xf numFmtId="44" fontId="5" fillId="0" borderId="0" xfId="4" applyFont="1"/>
    <xf numFmtId="44" fontId="31" fillId="0" borderId="0" xfId="4" applyFont="1"/>
    <xf numFmtId="171" fontId="5" fillId="0" borderId="0" xfId="1" applyNumberFormat="1" applyFont="1"/>
    <xf numFmtId="169" fontId="28" fillId="0" borderId="3" xfId="23" applyNumberFormat="1" applyFont="1" applyBorder="1" applyAlignment="1" applyProtection="1">
      <alignment horizontal="left"/>
    </xf>
    <xf numFmtId="0" fontId="28" fillId="8" borderId="1" xfId="27" applyFont="1" applyFill="1" applyBorder="1" applyAlignment="1" applyProtection="1">
      <alignment horizontal="left" vertical="center" wrapText="1"/>
    </xf>
    <xf numFmtId="2" fontId="28" fillId="8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wrapText="1"/>
    </xf>
    <xf numFmtId="0" fontId="9" fillId="0" borderId="0" xfId="10" applyFont="1" applyBorder="1" applyAlignment="1">
      <alignment horizontal="center" vertical="center"/>
    </xf>
    <xf numFmtId="0" fontId="10" fillId="0" borderId="13" xfId="10" applyFont="1" applyBorder="1" applyAlignment="1">
      <alignment horizontal="right"/>
    </xf>
    <xf numFmtId="0" fontId="10" fillId="0" borderId="13" xfId="1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49" fontId="36" fillId="0" borderId="0" xfId="0" applyNumberFormat="1" applyFont="1" applyAlignment="1"/>
    <xf numFmtId="0" fontId="0" fillId="0" borderId="0" xfId="0" applyAlignment="1"/>
    <xf numFmtId="49" fontId="36" fillId="0" borderId="0" xfId="0" applyNumberFormat="1" applyFont="1"/>
    <xf numFmtId="0" fontId="36" fillId="0" borderId="0" xfId="0" applyFont="1" applyAlignment="1"/>
    <xf numFmtId="173" fontId="36" fillId="0" borderId="0" xfId="0" applyNumberFormat="1" applyFont="1" applyAlignment="1"/>
    <xf numFmtId="0" fontId="35" fillId="0" borderId="1" xfId="27" applyFont="1" applyFill="1" applyBorder="1" applyAlignment="1" applyProtection="1">
      <alignment horizontal="left" vertical="center" wrapText="1"/>
    </xf>
    <xf numFmtId="0" fontId="28" fillId="0" borderId="1" xfId="27" applyFont="1" applyFill="1" applyBorder="1" applyAlignment="1" applyProtection="1">
      <alignment horizontal="center" vertical="center" wrapText="1"/>
    </xf>
    <xf numFmtId="0" fontId="21" fillId="0" borderId="1" xfId="28" quotePrefix="1" applyFont="1" applyFill="1" applyBorder="1" applyAlignment="1">
      <alignment horizontal="right" vertical="center"/>
    </xf>
    <xf numFmtId="0" fontId="32" fillId="0" borderId="1" xfId="28" quotePrefix="1" applyFont="1" applyFill="1" applyBorder="1" applyAlignment="1">
      <alignment horizontal="left" vertical="center"/>
    </xf>
    <xf numFmtId="0" fontId="32" fillId="0" borderId="1" xfId="34" quotePrefix="1" applyFont="1" applyFill="1" applyBorder="1" applyAlignment="1">
      <alignment horizontal="left" vertical="center"/>
    </xf>
    <xf numFmtId="49" fontId="25" fillId="0" borderId="0" xfId="34" quotePrefix="1" applyNumberFormat="1" applyFont="1" applyFill="1" applyBorder="1" applyAlignment="1">
      <alignment horizontal="right" vertical="center"/>
    </xf>
    <xf numFmtId="0" fontId="21" fillId="0" borderId="1" xfId="34" quotePrefix="1" applyFont="1" applyFill="1" applyBorder="1" applyAlignment="1">
      <alignment horizontal="right" vertical="center"/>
    </xf>
    <xf numFmtId="0" fontId="32" fillId="0" borderId="1" xfId="34" quotePrefix="1" applyFont="1" applyFill="1" applyBorder="1" applyAlignment="1">
      <alignment horizontal="right" vertical="center"/>
    </xf>
    <xf numFmtId="0" fontId="32" fillId="0" borderId="1" xfId="28" quotePrefix="1" applyFont="1" applyFill="1" applyBorder="1" applyAlignment="1">
      <alignment horizontal="right" vertical="center"/>
    </xf>
    <xf numFmtId="0" fontId="21" fillId="0" borderId="14" xfId="49" quotePrefix="1" applyFont="1" applyBorder="1" applyAlignment="1">
      <alignment horizontal="right" vertical="center"/>
    </xf>
    <xf numFmtId="174" fontId="8" fillId="0" borderId="1" xfId="4" applyNumberFormat="1" applyFont="1" applyBorder="1"/>
    <xf numFmtId="0" fontId="8" fillId="0" borderId="41" xfId="10" applyFont="1" applyBorder="1" applyAlignment="1">
      <alignment horizontal="left"/>
    </xf>
    <xf numFmtId="0" fontId="10" fillId="0" borderId="0" xfId="10" applyFont="1" applyBorder="1" applyAlignment="1">
      <alignment horizontal="center"/>
    </xf>
    <xf numFmtId="0" fontId="8" fillId="0" borderId="0" xfId="10" applyFont="1" applyBorder="1" applyAlignment="1">
      <alignment horizontal="center"/>
    </xf>
    <xf numFmtId="0" fontId="8" fillId="0" borderId="41" xfId="10" applyFont="1" applyBorder="1"/>
    <xf numFmtId="43" fontId="8" fillId="0" borderId="1" xfId="4" applyNumberFormat="1" applyFont="1" applyBorder="1"/>
    <xf numFmtId="39" fontId="8" fillId="0" borderId="1" xfId="4" applyNumberFormat="1" applyFont="1" applyBorder="1"/>
    <xf numFmtId="39" fontId="8" fillId="0" borderId="1" xfId="5" applyNumberFormat="1" applyFont="1" applyBorder="1"/>
    <xf numFmtId="39" fontId="10" fillId="0" borderId="1" xfId="4" applyNumberFormat="1" applyFont="1" applyBorder="1"/>
    <xf numFmtId="174" fontId="8" fillId="0" borderId="1" xfId="4" applyNumberFormat="1" applyFont="1" applyBorder="1" applyAlignment="1">
      <alignment horizontal="center"/>
    </xf>
    <xf numFmtId="0" fontId="8" fillId="0" borderId="25" xfId="10" applyFont="1" applyBorder="1"/>
    <xf numFmtId="2" fontId="8" fillId="0" borderId="25" xfId="10" applyNumberFormat="1" applyFont="1" applyBorder="1"/>
    <xf numFmtId="0" fontId="8" fillId="0" borderId="25" xfId="10" applyFont="1" applyBorder="1" applyAlignment="1">
      <alignment horizontal="center"/>
    </xf>
    <xf numFmtId="39" fontId="8" fillId="0" borderId="25" xfId="4" applyNumberFormat="1" applyFont="1" applyBorder="1"/>
    <xf numFmtId="174" fontId="8" fillId="0" borderId="25" xfId="4" applyNumberFormat="1" applyFont="1" applyBorder="1" applyAlignment="1">
      <alignment horizontal="center"/>
    </xf>
    <xf numFmtId="175" fontId="8" fillId="0" borderId="1" xfId="4" applyNumberFormat="1" applyFont="1" applyBorder="1" applyAlignment="1">
      <alignment horizontal="center"/>
    </xf>
    <xf numFmtId="43" fontId="8" fillId="0" borderId="25" xfId="4" applyNumberFormat="1" applyFont="1" applyBorder="1"/>
    <xf numFmtId="43" fontId="10" fillId="0" borderId="1" xfId="4" applyNumberFormat="1" applyFont="1" applyBorder="1"/>
    <xf numFmtId="0" fontId="10" fillId="0" borderId="1" xfId="10" applyFont="1" applyBorder="1" applyAlignment="1">
      <alignment horizontal="center" vertical="center" wrapText="1"/>
    </xf>
    <xf numFmtId="0" fontId="10" fillId="0" borderId="1" xfId="10" applyFont="1" applyBorder="1" applyAlignment="1">
      <alignment horizontal="center" vertical="center"/>
    </xf>
    <xf numFmtId="174" fontId="10" fillId="0" borderId="1" xfId="10" applyNumberFormat="1" applyFont="1" applyBorder="1"/>
    <xf numFmtId="0" fontId="5" fillId="0" borderId="4" xfId="0" applyFont="1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43" fontId="5" fillId="15" borderId="13" xfId="1" applyFont="1" applyFill="1" applyBorder="1" applyAlignment="1">
      <alignment horizontal="center"/>
    </xf>
    <xf numFmtId="44" fontId="5" fillId="15" borderId="14" xfId="4" applyFont="1" applyFill="1" applyBorder="1" applyAlignment="1">
      <alignment horizontal="center"/>
    </xf>
    <xf numFmtId="0" fontId="31" fillId="15" borderId="16" xfId="0" applyFont="1" applyFill="1" applyBorder="1" applyAlignment="1">
      <alignment horizontal="center" vertical="center"/>
    </xf>
    <xf numFmtId="0" fontId="31" fillId="15" borderId="16" xfId="0" applyFont="1" applyFill="1" applyBorder="1" applyAlignment="1">
      <alignment vertical="center" wrapText="1"/>
    </xf>
    <xf numFmtId="44" fontId="5" fillId="15" borderId="1" xfId="4" applyFont="1" applyFill="1" applyBorder="1" applyAlignment="1">
      <alignment horizontal="center"/>
    </xf>
    <xf numFmtId="10" fontId="5" fillId="0" borderId="1" xfId="23" applyNumberFormat="1" applyFont="1" applyFill="1" applyBorder="1" applyAlignment="1">
      <alignment horizontal="center"/>
    </xf>
    <xf numFmtId="10" fontId="5" fillId="0" borderId="1" xfId="23" applyNumberFormat="1" applyFont="1" applyBorder="1" applyAlignment="1">
      <alignment horizontal="center" vertical="center"/>
    </xf>
    <xf numFmtId="44" fontId="31" fillId="15" borderId="1" xfId="4" applyFont="1" applyFill="1" applyBorder="1" applyAlignment="1">
      <alignment horizontal="center"/>
    </xf>
    <xf numFmtId="10" fontId="5" fillId="15" borderId="1" xfId="23" applyNumberFormat="1" applyFont="1" applyFill="1" applyBorder="1" applyAlignment="1">
      <alignment horizontal="center"/>
    </xf>
    <xf numFmtId="43" fontId="0" fillId="0" borderId="1" xfId="53" applyFont="1" applyBorder="1"/>
    <xf numFmtId="0" fontId="0" fillId="0" borderId="1" xfId="0" applyBorder="1"/>
    <xf numFmtId="0" fontId="5" fillId="0" borderId="1" xfId="0" applyFont="1" applyFill="1" applyBorder="1" applyAlignment="1">
      <alignment horizontal="left" wrapText="1"/>
    </xf>
    <xf numFmtId="0" fontId="5" fillId="0" borderId="0" xfId="0" applyFont="1" applyBorder="1" applyAlignment="1">
      <alignment horizontal="right"/>
    </xf>
    <xf numFmtId="44" fontId="32" fillId="0" borderId="1" xfId="0" applyNumberFormat="1" applyFont="1" applyFill="1" applyBorder="1"/>
    <xf numFmtId="0" fontId="5" fillId="0" borderId="4" xfId="0" applyFont="1" applyBorder="1" applyAlignment="1">
      <alignment horizontal="right"/>
    </xf>
    <xf numFmtId="0" fontId="5" fillId="0" borderId="13" xfId="0" applyFont="1" applyFill="1" applyBorder="1" applyAlignment="1">
      <alignment horizontal="right"/>
    </xf>
    <xf numFmtId="0" fontId="5" fillId="16" borderId="1" xfId="0" applyFont="1" applyFill="1" applyBorder="1" applyAlignment="1">
      <alignment horizontal="center" vertical="center" wrapText="1"/>
    </xf>
    <xf numFmtId="0" fontId="5" fillId="16" borderId="2" xfId="0" applyFont="1" applyFill="1" applyBorder="1" applyAlignment="1">
      <alignment horizontal="center" vertical="center" wrapText="1"/>
    </xf>
    <xf numFmtId="43" fontId="5" fillId="16" borderId="2" xfId="1" applyFont="1" applyFill="1" applyBorder="1" applyAlignment="1">
      <alignment horizontal="center" vertical="center" wrapText="1"/>
    </xf>
    <xf numFmtId="0" fontId="5" fillId="16" borderId="2" xfId="4" applyNumberFormat="1" applyFont="1" applyFill="1" applyBorder="1" applyAlignment="1">
      <alignment horizontal="center" vertical="center" wrapText="1"/>
    </xf>
    <xf numFmtId="44" fontId="28" fillId="0" borderId="0" xfId="4" applyFont="1" applyFill="1" applyBorder="1" applyAlignment="1" applyProtection="1">
      <alignment horizontal="left"/>
    </xf>
    <xf numFmtId="44" fontId="21" fillId="0" borderId="0" xfId="4" applyFont="1" applyFill="1" applyBorder="1"/>
    <xf numFmtId="44" fontId="35" fillId="0" borderId="0" xfId="55" applyFont="1" applyFill="1" applyBorder="1" applyAlignment="1" applyProtection="1">
      <alignment horizontal="left"/>
    </xf>
    <xf numFmtId="43" fontId="28" fillId="12" borderId="3" xfId="0" applyNumberFormat="1" applyFont="1" applyFill="1" applyBorder="1" applyAlignment="1" applyProtection="1">
      <alignment horizontal="left"/>
    </xf>
    <xf numFmtId="43" fontId="28" fillId="12" borderId="20" xfId="53" applyFont="1" applyFill="1" applyBorder="1" applyProtection="1"/>
    <xf numFmtId="0" fontId="32" fillId="0" borderId="4" xfId="0" applyFont="1" applyBorder="1" applyAlignment="1">
      <alignment horizontal="left" vertical="center"/>
    </xf>
    <xf numFmtId="0" fontId="32" fillId="0" borderId="13" xfId="0" applyFont="1" applyBorder="1" applyAlignment="1">
      <alignment horizontal="center" vertical="center"/>
    </xf>
    <xf numFmtId="10" fontId="32" fillId="0" borderId="13" xfId="23" applyNumberFormat="1" applyFont="1" applyBorder="1" applyAlignment="1">
      <alignment horizontal="center" vertical="center"/>
    </xf>
    <xf numFmtId="2" fontId="32" fillId="0" borderId="13" xfId="0" applyNumberFormat="1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10" fontId="21" fillId="0" borderId="1" xfId="23" applyNumberFormat="1" applyFont="1" applyBorder="1"/>
    <xf numFmtId="0" fontId="10" fillId="0" borderId="1" xfId="10" applyFont="1" applyBorder="1" applyAlignment="1">
      <alignment horizontal="center" vertical="center"/>
    </xf>
    <xf numFmtId="43" fontId="8" fillId="0" borderId="1" xfId="2" applyFont="1" applyBorder="1"/>
    <xf numFmtId="43" fontId="8" fillId="0" borderId="1" xfId="2" applyFont="1" applyFill="1" applyBorder="1"/>
    <xf numFmtId="0" fontId="21" fillId="10" borderId="0" xfId="0" applyFont="1" applyFill="1"/>
    <xf numFmtId="10" fontId="32" fillId="0" borderId="1" xfId="23" applyNumberFormat="1" applyFont="1" applyFill="1" applyBorder="1"/>
    <xf numFmtId="176" fontId="32" fillId="0" borderId="13" xfId="0" applyNumberFormat="1" applyFont="1" applyBorder="1" applyAlignment="1">
      <alignment horizontal="center" vertical="center"/>
    </xf>
    <xf numFmtId="44" fontId="28" fillId="0" borderId="3" xfId="55" applyFont="1" applyFill="1" applyBorder="1" applyAlignment="1">
      <alignment horizontal="center" vertical="center"/>
    </xf>
    <xf numFmtId="43" fontId="10" fillId="0" borderId="13" xfId="10" applyNumberFormat="1" applyFont="1" applyBorder="1" applyAlignment="1">
      <alignment horizontal="right"/>
    </xf>
    <xf numFmtId="0" fontId="38" fillId="4" borderId="3" xfId="0" applyFont="1" applyFill="1" applyBorder="1" applyAlignment="1">
      <alignment horizontal="center" vertical="center"/>
    </xf>
    <xf numFmtId="0" fontId="21" fillId="10" borderId="0" xfId="0" applyFont="1" applyFill="1" applyAlignment="1"/>
    <xf numFmtId="0" fontId="8" fillId="0" borderId="25" xfId="10" applyFont="1" applyFill="1" applyBorder="1"/>
    <xf numFmtId="39" fontId="8" fillId="0" borderId="25" xfId="4" applyNumberFormat="1" applyFont="1" applyFill="1" applyBorder="1"/>
    <xf numFmtId="39" fontId="8" fillId="0" borderId="1" xfId="4" applyNumberFormat="1" applyFont="1" applyFill="1" applyBorder="1"/>
    <xf numFmtId="44" fontId="5" fillId="0" borderId="0" xfId="4" applyNumberFormat="1" applyFont="1" applyAlignment="1">
      <alignment horizontal="center" vertical="center"/>
    </xf>
    <xf numFmtId="44" fontId="21" fillId="14" borderId="0" xfId="4" applyFont="1" applyFill="1"/>
    <xf numFmtId="44" fontId="21" fillId="10" borderId="0" xfId="4" applyFont="1" applyFill="1"/>
    <xf numFmtId="0" fontId="8" fillId="0" borderId="1" xfId="10" applyFont="1" applyFill="1" applyBorder="1"/>
    <xf numFmtId="2" fontId="8" fillId="0" borderId="1" xfId="10" applyNumberFormat="1" applyFont="1" applyFill="1" applyBorder="1"/>
    <xf numFmtId="0" fontId="8" fillId="0" borderId="1" xfId="10" applyFont="1" applyFill="1" applyBorder="1" applyAlignment="1">
      <alignment horizontal="center"/>
    </xf>
    <xf numFmtId="2" fontId="28" fillId="10" borderId="1" xfId="4" applyNumberFormat="1" applyFont="1" applyFill="1" applyBorder="1" applyAlignment="1">
      <alignment horizontal="center" vertical="center"/>
    </xf>
    <xf numFmtId="0" fontId="21" fillId="14" borderId="0" xfId="0" applyFont="1" applyFill="1" applyAlignment="1"/>
    <xf numFmtId="2" fontId="8" fillId="0" borderId="25" xfId="10" applyNumberFormat="1" applyFont="1" applyFill="1" applyBorder="1"/>
    <xf numFmtId="0" fontId="8" fillId="0" borderId="25" xfId="10" applyFont="1" applyFill="1" applyBorder="1" applyAlignment="1">
      <alignment horizontal="center"/>
    </xf>
    <xf numFmtId="174" fontId="8" fillId="0" borderId="25" xfId="4" applyNumberFormat="1" applyFont="1" applyFill="1" applyBorder="1" applyAlignment="1">
      <alignment horizontal="center"/>
    </xf>
    <xf numFmtId="0" fontId="3" fillId="0" borderId="8" xfId="0" applyFont="1" applyBorder="1" applyAlignment="1"/>
    <xf numFmtId="10" fontId="21" fillId="0" borderId="0" xfId="23" applyNumberFormat="1" applyFont="1" applyBorder="1"/>
    <xf numFmtId="0" fontId="21" fillId="0" borderId="10" xfId="0" applyFont="1" applyBorder="1"/>
    <xf numFmtId="0" fontId="21" fillId="0" borderId="41" xfId="0" applyFont="1" applyBorder="1"/>
    <xf numFmtId="2" fontId="21" fillId="0" borderId="41" xfId="0" applyNumberFormat="1" applyFont="1" applyBorder="1"/>
    <xf numFmtId="0" fontId="21" fillId="0" borderId="11" xfId="0" applyFont="1" applyBorder="1"/>
    <xf numFmtId="0" fontId="32" fillId="0" borderId="14" xfId="0" applyFont="1" applyFill="1" applyBorder="1"/>
    <xf numFmtId="0" fontId="34" fillId="0" borderId="0" xfId="0" applyFont="1"/>
    <xf numFmtId="0" fontId="34" fillId="0" borderId="0" xfId="0" applyFont="1" applyAlignment="1">
      <alignment horizontal="right"/>
    </xf>
    <xf numFmtId="0" fontId="34" fillId="0" borderId="0" xfId="0" applyFont="1" applyAlignment="1">
      <alignment horizontal="center" vertical="center"/>
    </xf>
    <xf numFmtId="43" fontId="34" fillId="0" borderId="0" xfId="1" applyFont="1" applyAlignment="1">
      <alignment horizontal="center" vertical="center"/>
    </xf>
    <xf numFmtId="0" fontId="34" fillId="0" borderId="0" xfId="4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168" fontId="41" fillId="0" borderId="40" xfId="0" applyNumberFormat="1" applyFont="1" applyBorder="1"/>
    <xf numFmtId="0" fontId="41" fillId="0" borderId="0" xfId="0" applyFont="1" applyAlignment="1">
      <alignment horizontal="left" vertical="center"/>
    </xf>
    <xf numFmtId="0" fontId="41" fillId="0" borderId="0" xfId="0" applyFont="1" applyBorder="1" applyAlignment="1">
      <alignment horizontal="left" vertical="center"/>
    </xf>
    <xf numFmtId="0" fontId="34" fillId="7" borderId="25" xfId="0" applyFont="1" applyFill="1" applyBorder="1" applyAlignment="1">
      <alignment horizontal="right"/>
    </xf>
    <xf numFmtId="0" fontId="34" fillId="7" borderId="25" xfId="0" applyFont="1" applyFill="1" applyBorder="1" applyAlignment="1">
      <alignment horizontal="center"/>
    </xf>
    <xf numFmtId="0" fontId="34" fillId="7" borderId="3" xfId="0" applyFont="1" applyFill="1" applyBorder="1" applyAlignment="1">
      <alignment horizontal="center" vertical="center"/>
    </xf>
    <xf numFmtId="43" fontId="34" fillId="7" borderId="3" xfId="1" applyFont="1" applyFill="1" applyBorder="1" applyAlignment="1">
      <alignment horizontal="center" vertical="center"/>
    </xf>
    <xf numFmtId="0" fontId="34" fillId="7" borderId="3" xfId="4" applyNumberFormat="1" applyFont="1" applyFill="1" applyBorder="1" applyAlignment="1">
      <alignment horizontal="center" vertical="center"/>
    </xf>
    <xf numFmtId="0" fontId="34" fillId="7" borderId="3" xfId="0" applyFont="1" applyFill="1" applyBorder="1" applyAlignment="1">
      <alignment horizontal="center"/>
    </xf>
    <xf numFmtId="0" fontId="41" fillId="0" borderId="0" xfId="0" applyFont="1"/>
    <xf numFmtId="0" fontId="34" fillId="7" borderId="0" xfId="0" applyFont="1" applyFill="1" applyBorder="1" applyAlignment="1">
      <alignment horizontal="center"/>
    </xf>
    <xf numFmtId="0" fontId="34" fillId="0" borderId="1" xfId="0" applyFont="1" applyBorder="1"/>
    <xf numFmtId="0" fontId="42" fillId="0" borderId="16" xfId="0" applyFont="1" applyFill="1" applyBorder="1" applyAlignment="1">
      <alignment horizontal="right"/>
    </xf>
    <xf numFmtId="0" fontId="42" fillId="0" borderId="2" xfId="0" applyFont="1" applyFill="1" applyBorder="1" applyAlignment="1">
      <alignment wrapText="1"/>
    </xf>
    <xf numFmtId="0" fontId="34" fillId="0" borderId="1" xfId="0" applyFont="1" applyFill="1" applyBorder="1" applyAlignment="1">
      <alignment horizontal="center"/>
    </xf>
    <xf numFmtId="43" fontId="34" fillId="0" borderId="1" xfId="1" applyFont="1" applyFill="1" applyBorder="1" applyAlignment="1">
      <alignment horizontal="center"/>
    </xf>
    <xf numFmtId="44" fontId="34" fillId="0" borderId="1" xfId="4" applyFont="1" applyFill="1" applyBorder="1" applyAlignment="1">
      <alignment horizontal="center"/>
    </xf>
    <xf numFmtId="44" fontId="42" fillId="0" borderId="1" xfId="4" applyFont="1" applyFill="1" applyBorder="1"/>
    <xf numFmtId="169" fontId="34" fillId="0" borderId="1" xfId="23" applyNumberFormat="1" applyFont="1" applyBorder="1" applyAlignment="1">
      <alignment horizontal="center" vertical="center"/>
    </xf>
    <xf numFmtId="169" fontId="34" fillId="0" borderId="1" xfId="23" applyNumberFormat="1" applyFont="1" applyBorder="1"/>
    <xf numFmtId="169" fontId="34" fillId="0" borderId="0" xfId="23" applyNumberFormat="1" applyFont="1" applyBorder="1"/>
    <xf numFmtId="169" fontId="34" fillId="0" borderId="0" xfId="23" applyNumberFormat="1" applyFont="1"/>
    <xf numFmtId="169" fontId="34" fillId="0" borderId="0" xfId="23" applyNumberFormat="1" applyFont="1" applyAlignment="1">
      <alignment horizontal="center" vertical="center"/>
    </xf>
    <xf numFmtId="2" fontId="34" fillId="0" borderId="1" xfId="0" applyNumberFormat="1" applyFont="1" applyBorder="1" applyAlignment="1">
      <alignment horizontal="center" vertical="center"/>
    </xf>
    <xf numFmtId="0" fontId="34" fillId="0" borderId="2" xfId="0" applyFont="1" applyFill="1" applyBorder="1" applyAlignment="1">
      <alignment horizontal="center"/>
    </xf>
    <xf numFmtId="43" fontId="34" fillId="0" borderId="2" xfId="1" applyFont="1" applyFill="1" applyBorder="1" applyAlignment="1">
      <alignment horizontal="center"/>
    </xf>
    <xf numFmtId="44" fontId="34" fillId="0" borderId="2" xfId="4" applyFont="1" applyFill="1" applyBorder="1" applyAlignment="1">
      <alignment horizontal="center"/>
    </xf>
    <xf numFmtId="44" fontId="42" fillId="0" borderId="2" xfId="4" applyFont="1" applyFill="1" applyBorder="1"/>
    <xf numFmtId="169" fontId="34" fillId="0" borderId="2" xfId="23" applyNumberFormat="1" applyFont="1" applyBorder="1" applyAlignment="1">
      <alignment horizontal="center" vertical="center"/>
    </xf>
    <xf numFmtId="0" fontId="42" fillId="0" borderId="16" xfId="0" applyFont="1" applyFill="1" applyBorder="1" applyAlignment="1">
      <alignment wrapText="1"/>
    </xf>
    <xf numFmtId="0" fontId="34" fillId="0" borderId="4" xfId="0" applyFont="1" applyFill="1" applyBorder="1" applyAlignment="1">
      <alignment horizontal="center"/>
    </xf>
    <xf numFmtId="43" fontId="34" fillId="0" borderId="13" xfId="1" applyFont="1" applyFill="1" applyBorder="1" applyAlignment="1">
      <alignment horizontal="center"/>
    </xf>
    <xf numFmtId="44" fontId="34" fillId="0" borderId="13" xfId="4" applyFont="1" applyFill="1" applyBorder="1" applyAlignment="1">
      <alignment horizontal="center"/>
    </xf>
    <xf numFmtId="44" fontId="42" fillId="0" borderId="13" xfId="4" applyFont="1" applyFill="1" applyBorder="1"/>
    <xf numFmtId="169" fontId="34" fillId="0" borderId="14" xfId="23" applyNumberFormat="1" applyFont="1" applyBorder="1" applyAlignment="1">
      <alignment horizontal="center" vertical="center"/>
    </xf>
    <xf numFmtId="169" fontId="34" fillId="0" borderId="4" xfId="23" applyNumberFormat="1" applyFont="1" applyFill="1" applyBorder="1"/>
    <xf numFmtId="169" fontId="34" fillId="0" borderId="13" xfId="23" applyNumberFormat="1" applyFont="1" applyFill="1" applyBorder="1"/>
    <xf numFmtId="169" fontId="34" fillId="0" borderId="14" xfId="23" applyNumberFormat="1" applyFont="1" applyFill="1" applyBorder="1"/>
    <xf numFmtId="0" fontId="34" fillId="0" borderId="25" xfId="0" applyFont="1" applyFill="1" applyBorder="1" applyAlignment="1">
      <alignment horizontal="center"/>
    </xf>
    <xf numFmtId="43" fontId="34" fillId="0" borderId="25" xfId="1" applyFont="1" applyFill="1" applyBorder="1" applyAlignment="1">
      <alignment horizontal="center"/>
    </xf>
    <xf numFmtId="44" fontId="34" fillId="0" borderId="25" xfId="4" applyFont="1" applyFill="1" applyBorder="1" applyAlignment="1">
      <alignment horizontal="center"/>
    </xf>
    <xf numFmtId="44" fontId="42" fillId="0" borderId="25" xfId="4" applyFont="1" applyFill="1" applyBorder="1"/>
    <xf numFmtId="169" fontId="34" fillId="0" borderId="25" xfId="23" applyNumberFormat="1" applyFont="1" applyBorder="1" applyAlignment="1">
      <alignment horizontal="center" vertical="center"/>
    </xf>
    <xf numFmtId="0" fontId="42" fillId="17" borderId="2" xfId="0" applyFont="1" applyFill="1" applyBorder="1" applyAlignment="1">
      <alignment wrapText="1"/>
    </xf>
    <xf numFmtId="0" fontId="34" fillId="0" borderId="16" xfId="0" applyFont="1" applyFill="1" applyBorder="1" applyAlignment="1">
      <alignment horizontal="center"/>
    </xf>
    <xf numFmtId="43" fontId="34" fillId="0" borderId="17" xfId="1" applyFont="1" applyFill="1" applyBorder="1" applyAlignment="1">
      <alignment horizontal="center"/>
    </xf>
    <xf numFmtId="44" fontId="34" fillId="0" borderId="17" xfId="4" applyFont="1" applyFill="1" applyBorder="1" applyAlignment="1">
      <alignment horizontal="center"/>
    </xf>
    <xf numFmtId="44" fontId="42" fillId="0" borderId="17" xfId="4" applyFont="1" applyFill="1" applyBorder="1"/>
    <xf numFmtId="169" fontId="34" fillId="0" borderId="19" xfId="23" applyNumberFormat="1" applyFont="1" applyBorder="1" applyAlignment="1">
      <alignment horizontal="center" vertical="center"/>
    </xf>
    <xf numFmtId="169" fontId="34" fillId="0" borderId="16" xfId="23" applyNumberFormat="1" applyFont="1" applyFill="1" applyBorder="1"/>
    <xf numFmtId="169" fontId="34" fillId="0" borderId="17" xfId="23" applyNumberFormat="1" applyFont="1" applyFill="1" applyBorder="1"/>
    <xf numFmtId="169" fontId="34" fillId="0" borderId="19" xfId="23" applyNumberFormat="1" applyFont="1" applyFill="1" applyBorder="1"/>
    <xf numFmtId="0" fontId="34" fillId="0" borderId="23" xfId="0" applyFont="1" applyFill="1" applyBorder="1" applyAlignment="1">
      <alignment horizontal="center"/>
    </xf>
    <xf numFmtId="43" fontId="34" fillId="0" borderId="18" xfId="1" applyFont="1" applyFill="1" applyBorder="1" applyAlignment="1">
      <alignment horizontal="center"/>
    </xf>
    <xf numFmtId="44" fontId="34" fillId="0" borderId="18" xfId="4" applyFont="1" applyFill="1" applyBorder="1" applyAlignment="1">
      <alignment horizontal="center"/>
    </xf>
    <xf numFmtId="44" fontId="42" fillId="0" borderId="18" xfId="4" applyFont="1" applyFill="1" applyBorder="1"/>
    <xf numFmtId="169" fontId="34" fillId="0" borderId="24" xfId="23" applyNumberFormat="1" applyFont="1" applyBorder="1" applyAlignment="1">
      <alignment horizontal="center" vertical="center"/>
    </xf>
    <xf numFmtId="169" fontId="34" fillId="0" borderId="23" xfId="23" applyNumberFormat="1" applyFont="1" applyFill="1" applyBorder="1"/>
    <xf numFmtId="169" fontId="34" fillId="0" borderId="18" xfId="23" applyNumberFormat="1" applyFont="1" applyFill="1" applyBorder="1"/>
    <xf numFmtId="169" fontId="34" fillId="0" borderId="24" xfId="23" applyNumberFormat="1" applyFont="1" applyFill="1" applyBorder="1"/>
    <xf numFmtId="169" fontId="34" fillId="0" borderId="25" xfId="23" applyNumberFormat="1" applyFont="1" applyBorder="1"/>
    <xf numFmtId="0" fontId="34" fillId="0" borderId="15" xfId="0" applyFont="1" applyFill="1" applyBorder="1" applyAlignment="1">
      <alignment horizontal="center"/>
    </xf>
    <xf numFmtId="43" fontId="34" fillId="0" borderId="0" xfId="1" applyFont="1" applyFill="1" applyBorder="1" applyAlignment="1">
      <alignment horizontal="center"/>
    </xf>
    <xf numFmtId="44" fontId="34" fillId="0" borderId="0" xfId="4" applyFont="1" applyFill="1" applyBorder="1" applyAlignment="1">
      <alignment horizontal="center"/>
    </xf>
    <xf numFmtId="44" fontId="42" fillId="0" borderId="0" xfId="4" applyFont="1" applyFill="1" applyBorder="1"/>
    <xf numFmtId="169" fontId="34" fillId="0" borderId="20" xfId="23" applyNumberFormat="1" applyFont="1" applyBorder="1" applyAlignment="1">
      <alignment horizontal="center" vertical="center"/>
    </xf>
    <xf numFmtId="169" fontId="34" fillId="0" borderId="15" xfId="23" applyNumberFormat="1" applyFont="1" applyFill="1" applyBorder="1"/>
    <xf numFmtId="169" fontId="34" fillId="0" borderId="0" xfId="23" applyNumberFormat="1" applyFont="1" applyFill="1" applyBorder="1"/>
    <xf numFmtId="169" fontId="34" fillId="0" borderId="20" xfId="23" applyNumberFormat="1" applyFont="1" applyFill="1" applyBorder="1"/>
    <xf numFmtId="0" fontId="42" fillId="0" borderId="1" xfId="0" applyFont="1" applyFill="1" applyBorder="1" applyAlignment="1">
      <alignment horizontal="right"/>
    </xf>
    <xf numFmtId="0" fontId="42" fillId="0" borderId="1" xfId="0" applyFont="1" applyFill="1" applyBorder="1" applyAlignment="1">
      <alignment wrapText="1"/>
    </xf>
    <xf numFmtId="0" fontId="34" fillId="0" borderId="0" xfId="0" applyFont="1" applyFill="1" applyBorder="1" applyAlignment="1">
      <alignment horizontal="right"/>
    </xf>
    <xf numFmtId="0" fontId="34" fillId="0" borderId="0" xfId="0" applyFont="1" applyFill="1" applyBorder="1"/>
    <xf numFmtId="0" fontId="34" fillId="0" borderId="0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right"/>
    </xf>
    <xf numFmtId="0" fontId="34" fillId="0" borderId="13" xfId="0" applyFont="1" applyFill="1" applyBorder="1"/>
    <xf numFmtId="0" fontId="34" fillId="0" borderId="13" xfId="0" applyFont="1" applyFill="1" applyBorder="1" applyAlignment="1">
      <alignment horizontal="center"/>
    </xf>
    <xf numFmtId="0" fontId="34" fillId="0" borderId="4" xfId="0" applyFont="1" applyBorder="1"/>
    <xf numFmtId="0" fontId="34" fillId="0" borderId="13" xfId="0" applyFont="1" applyBorder="1"/>
    <xf numFmtId="0" fontId="41" fillId="0" borderId="13" xfId="0" applyFont="1" applyBorder="1" applyAlignment="1">
      <alignment horizontal="left" vertical="center"/>
    </xf>
    <xf numFmtId="0" fontId="41" fillId="0" borderId="14" xfId="0" applyFont="1" applyBorder="1" applyAlignment="1">
      <alignment horizontal="left" vertical="center"/>
    </xf>
    <xf numFmtId="0" fontId="34" fillId="0" borderId="2" xfId="0" applyFont="1" applyFill="1" applyBorder="1" applyAlignment="1">
      <alignment horizontal="right"/>
    </xf>
    <xf numFmtId="2" fontId="34" fillId="0" borderId="19" xfId="0" applyNumberFormat="1" applyFont="1" applyBorder="1" applyAlignment="1">
      <alignment horizontal="center" vertical="center"/>
    </xf>
    <xf numFmtId="169" fontId="34" fillId="0" borderId="1" xfId="0" applyNumberFormat="1" applyFont="1" applyBorder="1"/>
    <xf numFmtId="169" fontId="34" fillId="0" borderId="0" xfId="0" applyNumberFormat="1" applyFont="1" applyBorder="1"/>
    <xf numFmtId="0" fontId="34" fillId="0" borderId="3" xfId="0" applyFont="1" applyFill="1" applyBorder="1" applyAlignment="1">
      <alignment horizontal="right"/>
    </xf>
    <xf numFmtId="2" fontId="34" fillId="0" borderId="20" xfId="0" applyNumberFormat="1" applyFont="1" applyBorder="1" applyAlignment="1">
      <alignment horizontal="center" vertical="center"/>
    </xf>
    <xf numFmtId="44" fontId="34" fillId="0" borderId="1" xfId="4" applyNumberFormat="1" applyFont="1" applyBorder="1"/>
    <xf numFmtId="44" fontId="34" fillId="0" borderId="0" xfId="4" applyNumberFormat="1" applyFont="1" applyBorder="1"/>
    <xf numFmtId="0" fontId="34" fillId="0" borderId="25" xfId="0" applyFont="1" applyFill="1" applyBorder="1" applyAlignment="1">
      <alignment horizontal="right"/>
    </xf>
    <xf numFmtId="2" fontId="34" fillId="0" borderId="24" xfId="0" applyNumberFormat="1" applyFont="1" applyBorder="1" applyAlignment="1">
      <alignment horizontal="center" vertical="center"/>
    </xf>
    <xf numFmtId="10" fontId="34" fillId="0" borderId="0" xfId="23" applyNumberFormat="1" applyFont="1" applyAlignment="1">
      <alignment horizontal="center" vertical="center"/>
    </xf>
    <xf numFmtId="10" fontId="41" fillId="0" borderId="0" xfId="23" applyNumberFormat="1" applyFont="1"/>
    <xf numFmtId="10" fontId="34" fillId="0" borderId="0" xfId="23" applyNumberFormat="1" applyFont="1"/>
    <xf numFmtId="10" fontId="34" fillId="0" borderId="0" xfId="0" applyNumberFormat="1" applyFont="1"/>
    <xf numFmtId="44" fontId="34" fillId="7" borderId="25" xfId="9" applyFont="1" applyFill="1" applyBorder="1" applyAlignment="1">
      <alignment horizontal="center" vertical="center"/>
    </xf>
    <xf numFmtId="0" fontId="41" fillId="0" borderId="25" xfId="0" applyFont="1" applyBorder="1"/>
    <xf numFmtId="0" fontId="39" fillId="0" borderId="1" xfId="10" applyFont="1" applyBorder="1"/>
    <xf numFmtId="2" fontId="39" fillId="0" borderId="1" xfId="10" applyNumberFormat="1" applyFont="1" applyBorder="1"/>
    <xf numFmtId="0" fontId="39" fillId="0" borderId="1" xfId="10" applyFont="1" applyBorder="1" applyAlignment="1">
      <alignment horizontal="center"/>
    </xf>
    <xf numFmtId="39" fontId="39" fillId="0" borderId="1" xfId="4" applyNumberFormat="1" applyFont="1" applyBorder="1"/>
    <xf numFmtId="174" fontId="39" fillId="0" borderId="1" xfId="4" applyNumberFormat="1" applyFont="1" applyBorder="1" applyAlignment="1">
      <alignment horizontal="center"/>
    </xf>
    <xf numFmtId="43" fontId="39" fillId="0" borderId="1" xfId="4" applyNumberFormat="1" applyFont="1" applyBorder="1"/>
    <xf numFmtId="175" fontId="39" fillId="0" borderId="1" xfId="4" applyNumberFormat="1" applyFont="1" applyBorder="1" applyAlignment="1">
      <alignment horizontal="center"/>
    </xf>
    <xf numFmtId="39" fontId="39" fillId="0" borderId="1" xfId="5" applyNumberFormat="1" applyFont="1" applyBorder="1"/>
    <xf numFmtId="43" fontId="40" fillId="0" borderId="1" xfId="4" applyNumberFormat="1" applyFont="1" applyBorder="1"/>
    <xf numFmtId="44" fontId="39" fillId="0" borderId="1" xfId="4" applyFont="1" applyBorder="1"/>
    <xf numFmtId="174" fontId="39" fillId="0" borderId="1" xfId="4" applyNumberFormat="1" applyFont="1" applyBorder="1"/>
    <xf numFmtId="174" fontId="39" fillId="0" borderId="25" xfId="4" applyNumberFormat="1" applyFont="1" applyBorder="1" applyAlignment="1">
      <alignment horizontal="center"/>
    </xf>
    <xf numFmtId="43" fontId="39" fillId="0" borderId="25" xfId="4" applyNumberFormat="1" applyFont="1" applyBorder="1"/>
    <xf numFmtId="168" fontId="41" fillId="0" borderId="0" xfId="0" applyNumberFormat="1" applyFont="1" applyBorder="1"/>
    <xf numFmtId="0" fontId="41" fillId="0" borderId="25" xfId="0" applyFont="1" applyBorder="1" applyAlignment="1">
      <alignment horizontal="center"/>
    </xf>
    <xf numFmtId="2" fontId="21" fillId="0" borderId="1" xfId="28" quotePrefix="1" applyNumberFormat="1" applyFont="1" applyFill="1" applyBorder="1" applyAlignment="1">
      <alignment horizontal="right" vertical="center"/>
    </xf>
    <xf numFmtId="2" fontId="5" fillId="0" borderId="16" xfId="0" applyNumberFormat="1" applyFont="1" applyFill="1" applyBorder="1" applyAlignment="1">
      <alignment horizontal="center"/>
    </xf>
    <xf numFmtId="2" fontId="10" fillId="0" borderId="1" xfId="10" applyNumberFormat="1" applyFont="1" applyBorder="1" applyAlignment="1">
      <alignment horizontal="center" vertical="center"/>
    </xf>
    <xf numFmtId="44" fontId="34" fillId="0" borderId="1" xfId="4" applyFont="1" applyBorder="1"/>
    <xf numFmtId="10" fontId="41" fillId="0" borderId="1" xfId="0" applyNumberFormat="1" applyFont="1" applyBorder="1" applyAlignment="1">
      <alignment horizontal="center"/>
    </xf>
    <xf numFmtId="10" fontId="43" fillId="0" borderId="1" xfId="23" applyNumberFormat="1" applyFont="1" applyBorder="1" applyAlignment="1">
      <alignment horizontal="center"/>
    </xf>
    <xf numFmtId="44" fontId="43" fillId="0" borderId="1" xfId="4" applyFont="1" applyBorder="1"/>
    <xf numFmtId="10" fontId="43" fillId="0" borderId="0" xfId="23" applyNumberFormat="1" applyFont="1" applyAlignment="1">
      <alignment horizontal="center"/>
    </xf>
    <xf numFmtId="44" fontId="0" fillId="0" borderId="0" xfId="4" applyFont="1" applyAlignment="1">
      <alignment horizontal="left" vertical="center"/>
    </xf>
    <xf numFmtId="0" fontId="21" fillId="12" borderId="0" xfId="0" applyFont="1" applyFill="1"/>
    <xf numFmtId="17" fontId="21" fillId="0" borderId="0" xfId="0" applyNumberFormat="1" applyFont="1"/>
    <xf numFmtId="0" fontId="21" fillId="14" borderId="0" xfId="0" applyFont="1" applyFill="1"/>
    <xf numFmtId="43" fontId="0" fillId="0" borderId="0" xfId="1" applyFont="1"/>
    <xf numFmtId="44" fontId="0" fillId="0" borderId="0" xfId="4" applyFont="1"/>
    <xf numFmtId="10" fontId="0" fillId="0" borderId="0" xfId="23" applyNumberFormat="1" applyFont="1"/>
    <xf numFmtId="44" fontId="0" fillId="0" borderId="16" xfId="4" applyFont="1" applyBorder="1" applyAlignment="1">
      <alignment horizontal="center"/>
    </xf>
    <xf numFmtId="44" fontId="0" fillId="9" borderId="19" xfId="4" applyFont="1" applyFill="1" applyBorder="1" applyAlignment="1">
      <alignment horizontal="center"/>
    </xf>
    <xf numFmtId="44" fontId="0" fillId="0" borderId="15" xfId="4" applyFont="1" applyBorder="1"/>
    <xf numFmtId="44" fontId="0" fillId="9" borderId="20" xfId="4" applyFont="1" applyFill="1" applyBorder="1"/>
    <xf numFmtId="44" fontId="0" fillId="0" borderId="15" xfId="4" applyFont="1" applyFill="1" applyBorder="1"/>
    <xf numFmtId="44" fontId="0" fillId="0" borderId="20" xfId="4" applyFont="1" applyFill="1" applyBorder="1"/>
    <xf numFmtId="44" fontId="0" fillId="0" borderId="23" xfId="4" applyFont="1" applyBorder="1"/>
    <xf numFmtId="44" fontId="0" fillId="9" borderId="24" xfId="4" applyFont="1" applyFill="1" applyBorder="1"/>
    <xf numFmtId="0" fontId="0" fillId="0" borderId="16" xfId="0" applyBorder="1"/>
    <xf numFmtId="0" fontId="0" fillId="9" borderId="19" xfId="0" applyFill="1" applyBorder="1"/>
    <xf numFmtId="43" fontId="0" fillId="9" borderId="20" xfId="0" applyNumberFormat="1" applyFill="1" applyBorder="1"/>
    <xf numFmtId="43" fontId="0" fillId="0" borderId="20" xfId="0" applyNumberFormat="1" applyFill="1" applyBorder="1"/>
    <xf numFmtId="43" fontId="0" fillId="9" borderId="24" xfId="0" applyNumberFormat="1" applyFill="1" applyBorder="1"/>
    <xf numFmtId="44" fontId="0" fillId="0" borderId="4" xfId="4" applyFont="1" applyBorder="1"/>
    <xf numFmtId="44" fontId="0" fillId="0" borderId="13" xfId="4" applyFont="1" applyBorder="1"/>
    <xf numFmtId="0" fontId="0" fillId="0" borderId="13" xfId="0" applyBorder="1"/>
    <xf numFmtId="44" fontId="0" fillId="0" borderId="14" xfId="4" applyFont="1" applyBorder="1"/>
    <xf numFmtId="44" fontId="0" fillId="0" borderId="16" xfId="4" applyFont="1" applyBorder="1"/>
    <xf numFmtId="44" fontId="0" fillId="9" borderId="19" xfId="4" applyFont="1" applyFill="1" applyBorder="1"/>
    <xf numFmtId="43" fontId="0" fillId="9" borderId="19" xfId="0" applyNumberFormat="1" applyFill="1" applyBorder="1"/>
    <xf numFmtId="44" fontId="0" fillId="9" borderId="14" xfId="4" applyFont="1" applyFill="1" applyBorder="1"/>
    <xf numFmtId="43" fontId="0" fillId="9" borderId="14" xfId="0" applyNumberFormat="1" applyFill="1" applyBorder="1"/>
    <xf numFmtId="0" fontId="21" fillId="0" borderId="0" xfId="0" applyFont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4" xfId="10" applyFont="1" applyBorder="1" applyAlignment="1">
      <alignment horizontal="right"/>
    </xf>
    <xf numFmtId="0" fontId="10" fillId="0" borderId="13" xfId="10" applyFont="1" applyBorder="1" applyAlignment="1">
      <alignment horizontal="right"/>
    </xf>
    <xf numFmtId="0" fontId="10" fillId="0" borderId="4" xfId="10" applyFont="1" applyBorder="1" applyAlignment="1">
      <alignment horizontal="center"/>
    </xf>
    <xf numFmtId="0" fontId="10" fillId="0" borderId="13" xfId="10" applyFont="1" applyBorder="1" applyAlignment="1">
      <alignment horizontal="center"/>
    </xf>
    <xf numFmtId="0" fontId="10" fillId="0" borderId="14" xfId="10" applyFont="1" applyBorder="1" applyAlignment="1">
      <alignment horizontal="center"/>
    </xf>
    <xf numFmtId="0" fontId="8" fillId="0" borderId="4" xfId="10" applyFont="1" applyBorder="1" applyAlignment="1">
      <alignment horizontal="center"/>
    </xf>
    <xf numFmtId="0" fontId="8" fillId="0" borderId="13" xfId="10" applyFont="1" applyBorder="1" applyAlignment="1">
      <alignment horizontal="center"/>
    </xf>
    <xf numFmtId="0" fontId="8" fillId="0" borderId="19" xfId="10" applyFont="1" applyBorder="1" applyAlignment="1">
      <alignment horizontal="center"/>
    </xf>
    <xf numFmtId="0" fontId="10" fillId="0" borderId="1" xfId="10" applyFont="1" applyBorder="1" applyAlignment="1">
      <alignment horizontal="center" vertical="center" wrapText="1"/>
    </xf>
    <xf numFmtId="0" fontId="8" fillId="0" borderId="1" xfId="10" applyFont="1" applyBorder="1" applyAlignment="1">
      <alignment horizontal="center" vertical="center"/>
    </xf>
    <xf numFmtId="0" fontId="9" fillId="0" borderId="0" xfId="10" applyFont="1" applyBorder="1" applyAlignment="1">
      <alignment horizontal="center" vertical="center" wrapText="1"/>
    </xf>
    <xf numFmtId="0" fontId="9" fillId="0" borderId="0" xfId="10" applyFont="1" applyBorder="1" applyAlignment="1">
      <alignment horizontal="center" vertical="center"/>
    </xf>
    <xf numFmtId="0" fontId="8" fillId="0" borderId="41" xfId="10" applyFont="1" applyBorder="1" applyAlignment="1">
      <alignment horizontal="left"/>
    </xf>
    <xf numFmtId="0" fontId="9" fillId="0" borderId="4" xfId="10" applyFont="1" applyBorder="1" applyAlignment="1">
      <alignment horizontal="center" vertical="center"/>
    </xf>
    <xf numFmtId="0" fontId="9" fillId="0" borderId="13" xfId="10" applyFont="1" applyBorder="1" applyAlignment="1">
      <alignment horizontal="center" vertical="center"/>
    </xf>
    <xf numFmtId="0" fontId="9" fillId="0" borderId="14" xfId="10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4" fillId="0" borderId="1" xfId="0" applyFont="1" applyFill="1" applyBorder="1" applyAlignment="1">
      <alignment horizontal="right" vertical="center"/>
    </xf>
    <xf numFmtId="0" fontId="42" fillId="0" borderId="16" xfId="0" applyFont="1" applyBorder="1" applyAlignment="1">
      <alignment horizontal="center"/>
    </xf>
    <xf numFmtId="0" fontId="42" fillId="0" borderId="17" xfId="0" applyFont="1" applyBorder="1" applyAlignment="1">
      <alignment horizontal="center"/>
    </xf>
    <xf numFmtId="0" fontId="42" fillId="0" borderId="19" xfId="0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3" xfId="0" applyFont="1" applyBorder="1" applyAlignment="1">
      <alignment horizontal="center"/>
    </xf>
    <xf numFmtId="0" fontId="42" fillId="0" borderId="18" xfId="0" applyFont="1" applyBorder="1" applyAlignment="1">
      <alignment horizontal="center"/>
    </xf>
    <xf numFmtId="0" fontId="42" fillId="0" borderId="24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44" fontId="28" fillId="0" borderId="27" xfId="0" applyNumberFormat="1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32" fillId="0" borderId="6" xfId="0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32" fillId="0" borderId="8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10" fontId="21" fillId="0" borderId="1" xfId="23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/>
    </xf>
    <xf numFmtId="176" fontId="21" fillId="0" borderId="1" xfId="0" applyNumberFormat="1" applyFont="1" applyBorder="1" applyAlignment="1">
      <alignment horizontal="center" vertical="center"/>
    </xf>
    <xf numFmtId="44" fontId="0" fillId="0" borderId="4" xfId="4" applyFont="1" applyBorder="1" applyAlignment="1">
      <alignment horizontal="center"/>
    </xf>
    <xf numFmtId="44" fontId="0" fillId="0" borderId="13" xfId="4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2" fillId="0" borderId="4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3" fillId="0" borderId="1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43" fontId="8" fillId="0" borderId="0" xfId="1" applyFont="1"/>
  </cellXfs>
  <cellStyles count="57">
    <cellStyle name="Millares" xfId="1" builtinId="3"/>
    <cellStyle name="Millares 2" xfId="2"/>
    <cellStyle name="Millares 3" xfId="3"/>
    <cellStyle name="Millares 4" xfId="53"/>
    <cellStyle name="Moneda" xfId="4" builtinId="4"/>
    <cellStyle name="Moneda 2" xfId="5"/>
    <cellStyle name="Moneda 2 2" xfId="56"/>
    <cellStyle name="Moneda 3" xfId="6"/>
    <cellStyle name="Moneda 3 2" xfId="7"/>
    <cellStyle name="Moneda 4" xfId="8"/>
    <cellStyle name="Moneda 5" xfId="9"/>
    <cellStyle name="Moneda 6" xfId="55"/>
    <cellStyle name="Normal" xfId="0" builtinId="0"/>
    <cellStyle name="Normal 14" xfId="30"/>
    <cellStyle name="Normal 15" xfId="31"/>
    <cellStyle name="Normal 16" xfId="32"/>
    <cellStyle name="Normal 17" xfId="33"/>
    <cellStyle name="Normal 18" xfId="35"/>
    <cellStyle name="Normal 19" xfId="36"/>
    <cellStyle name="Normal 2" xfId="10"/>
    <cellStyle name="Normal 2 10" xfId="11"/>
    <cellStyle name="Normal 2 2" xfId="12"/>
    <cellStyle name="Normal 2 3" xfId="13"/>
    <cellStyle name="Normal 2 4" xfId="14"/>
    <cellStyle name="Normal 2 5" xfId="15"/>
    <cellStyle name="Normal 2 6" xfId="16"/>
    <cellStyle name="Normal 2 7" xfId="17"/>
    <cellStyle name="Normal 2 8" xfId="18"/>
    <cellStyle name="Normal 2 9" xfId="19"/>
    <cellStyle name="Normal 20" xfId="37"/>
    <cellStyle name="Normal 21" xfId="38"/>
    <cellStyle name="Normal 23" xfId="39"/>
    <cellStyle name="Normal 24" xfId="40"/>
    <cellStyle name="Normal 25" xfId="41"/>
    <cellStyle name="Normal 26" xfId="42"/>
    <cellStyle name="Normal 27" xfId="44"/>
    <cellStyle name="Normal 28" xfId="45"/>
    <cellStyle name="Normal 29" xfId="43"/>
    <cellStyle name="Normal 3" xfId="20"/>
    <cellStyle name="Normal 30" xfId="46"/>
    <cellStyle name="Normal 32" xfId="47"/>
    <cellStyle name="Normal 4" xfId="21"/>
    <cellStyle name="Normal 4 2" xfId="34"/>
    <cellStyle name="Normal 45" xfId="49"/>
    <cellStyle name="Normal 46" xfId="50"/>
    <cellStyle name="Normal 47" xfId="51"/>
    <cellStyle name="Normal 49" xfId="48"/>
    <cellStyle name="Normal 5" xfId="28"/>
    <cellStyle name="Normal 50" xfId="52"/>
    <cellStyle name="Normal 6" xfId="29"/>
    <cellStyle name="Normal_PLANILLA 2_Copia de analisis de costo mayo Villa Allende feb2011 (4)" xfId="27"/>
    <cellStyle name="Porcentaje" xfId="23" builtinId="5"/>
    <cellStyle name="Porcentaje 2" xfId="22"/>
    <cellStyle name="Porcentaje 3" xfId="54"/>
    <cellStyle name="Porcentual 2" xfId="24"/>
    <cellStyle name="Porcentual 3" xfId="25"/>
    <cellStyle name="Porcentual 7" xfId="26"/>
  </cellStyles>
  <dxfs count="1022">
    <dxf>
      <font>
        <b/>
        <i val="0"/>
      </font>
      <fill>
        <patternFill patternType="gray0625">
          <bgColor theme="0" tint="-0.14996795556505021"/>
        </patternFill>
      </fill>
    </dxf>
    <dxf>
      <font>
        <color theme="0"/>
      </font>
      <fill>
        <patternFill patternType="solid"/>
      </fill>
    </dxf>
    <dxf>
      <font>
        <b/>
        <i val="0"/>
      </font>
      <fill>
        <patternFill patternType="gray0625">
          <bgColor theme="0" tint="-0.14996795556505021"/>
        </patternFill>
      </fill>
    </dxf>
    <dxf>
      <font>
        <color theme="0"/>
      </font>
    </dxf>
    <dxf>
      <font>
        <b/>
        <i val="0"/>
      </font>
      <fill>
        <patternFill patternType="gray0625">
          <bgColor theme="0" tint="-0.14996795556505021"/>
        </patternFill>
      </fill>
    </dxf>
    <dxf>
      <font>
        <color theme="0"/>
      </font>
    </dxf>
    <dxf>
      <font>
        <b/>
        <i val="0"/>
      </font>
      <fill>
        <patternFill patternType="gray0625">
          <bgColor theme="0" tint="-0.14996795556505021"/>
        </patternFill>
      </fill>
    </dxf>
    <dxf>
      <font>
        <color theme="0"/>
      </font>
    </dxf>
    <dxf>
      <font>
        <b/>
        <i val="0"/>
      </font>
      <fill>
        <patternFill patternType="solid">
          <bgColor theme="0" tint="-0.14993743705557422"/>
        </patternFill>
      </fill>
    </dxf>
    <dxf>
      <font>
        <color theme="0"/>
      </font>
    </dxf>
    <dxf>
      <font>
        <b/>
        <i val="0"/>
      </font>
      <fill>
        <patternFill patternType="solid">
          <bgColor theme="0" tint="-0.149937437055574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numFmt numFmtId="177" formatCode="&quot;$&quot;\ 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1.xml"/><Relationship Id="rId12" Type="http://schemas.openxmlformats.org/officeDocument/2006/relationships/worksheet" Target="worksheets/sheet11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100" b="1" i="0" u="none" strike="noStrike" baseline="0">
                <a:effectLst/>
              </a:rPr>
              <a:t>MINISTERIO DEL INTERIOR, OBRAS PÚBLICAS Y VIVIENDA PROGRAMA NACIONAL DE INFRAESTRUCTURA UNIVERSITARIA </a:t>
            </a:r>
          </a:p>
          <a:p>
            <a:pPr>
              <a:defRPr/>
            </a:pPr>
            <a:r>
              <a:rPr lang="es-AR" sz="1100" b="1" i="0" u="none" strike="noStrike" baseline="0">
                <a:effectLst/>
              </a:rPr>
              <a:t>COMITENTE: UNIVERSIDAD NACIONAL DE SAN JUAN</a:t>
            </a:r>
          </a:p>
          <a:p>
            <a:pPr>
              <a:defRPr/>
            </a:pPr>
            <a:r>
              <a:rPr lang="es-AR" sz="1100" b="1" i="0" u="none" strike="noStrike" baseline="0">
                <a:effectLst/>
              </a:rPr>
              <a:t>LICITACIÓN PÚBLICA NACIONAL N° CU-011/16</a:t>
            </a:r>
          </a:p>
          <a:p>
            <a:pPr>
              <a:defRPr/>
            </a:pPr>
            <a:r>
              <a:rPr lang="es-AR" sz="1100" b="1" i="0" u="none" strike="noStrike" baseline="0">
                <a:effectLst/>
              </a:rPr>
              <a:t>OBRA: EDIFICIO SEDE JÁCHAL - CONSTRUCCIÓN DE AULAS</a:t>
            </a:r>
            <a:r>
              <a:rPr lang="es-AR" sz="1100" b="1" i="0" u="none" strike="noStrike" baseline="0"/>
              <a:t> </a:t>
            </a:r>
            <a:endParaRPr lang="es-AR" sz="900" b="1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787549265301702"/>
          <c:y val="0.15561494642191176"/>
          <c:w val="0.8389643033898323"/>
          <c:h val="0.72655264772614714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7"/>
            <c:spPr>
              <a:gradFill>
                <a:gsLst>
                  <a:gs pos="0">
                    <a:schemeClr val="bg1">
                      <a:lumMod val="75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s-AR" sz="800" b="1" i="0" u="none" strike="noStrike" baseline="0">
                        <a:effectLst/>
                      </a:rPr>
                      <a:t>15,00%</a:t>
                    </a:r>
                    <a:endParaRPr lang="es-AR" sz="800" b="0" i="0" u="none" strike="noStrike" baseline="0">
                      <a:effectLst/>
                    </a:endParaRPr>
                  </a:p>
                  <a:p>
                    <a:r>
                      <a:rPr lang="es-AR" sz="800" b="1" i="0" u="none" strike="noStrike" baseline="0">
                        <a:effectLst/>
                      </a:rPr>
                      <a:t> $  1.674.132,59 </a:t>
                    </a:r>
                    <a:r>
                      <a:rPr lang="es-AR" sz="800" b="0" i="0" u="none" strike="noStrike" baseline="0">
                        <a:effectLst/>
                      </a:rPr>
                      <a:t> </a:t>
                    </a:r>
                    <a:r>
                      <a:rPr lang="es-AR" sz="800" b="0" i="0" u="none" strike="noStrike" baseline="0"/>
                      <a:t> 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s-AR" sz="800" b="0" i="0" u="none" strike="noStrike" baseline="0">
                        <a:effectLst/>
                      </a:rPr>
                      <a:t>6,553%</a:t>
                    </a:r>
                    <a:r>
                      <a:rPr lang="es-AR" sz="800" b="0" i="0" u="none" strike="noStrike" baseline="0"/>
                      <a:t>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21,553%</a:t>
                    </a:r>
                    <a:r>
                      <a:rPr lang="es-AR" sz="800" b="0" i="0" u="none" strike="noStrike" baseline="0"/>
                      <a:t> </a:t>
                    </a:r>
                    <a:r>
                      <a:rPr lang="es-AR" sz="800" b="0" i="0" u="none" strike="noStrike" baseline="0">
                        <a:effectLst/>
                      </a:rPr>
                      <a:t>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$    731.336,24 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$    731.336,24 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s-AR" sz="800" b="0" i="0" u="none" strike="noStrike" baseline="0">
                        <a:effectLst/>
                      </a:rPr>
                      <a:t>8,511%</a:t>
                    </a:r>
                    <a:r>
                      <a:rPr lang="es-AR" sz="800" b="0" i="0" u="none" strike="noStrike" baseline="0"/>
                      <a:t>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30,064%</a:t>
                    </a:r>
                    <a:r>
                      <a:rPr lang="es-AR" sz="800" b="0" i="0" u="none" strike="noStrike" baseline="0"/>
                      <a:t> </a:t>
                    </a:r>
                    <a:r>
                      <a:rPr lang="es-AR" sz="800" b="0" i="0" u="none" strike="noStrike" baseline="0">
                        <a:effectLst/>
                      </a:rPr>
                      <a:t>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$      949.886,31 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$   1.681.222,55 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s-AR" sz="800" b="0" i="0" u="none" strike="noStrike" baseline="0">
                        <a:effectLst/>
                      </a:rPr>
                      <a:t>8,459%</a:t>
                    </a:r>
                    <a:r>
                      <a:rPr lang="es-AR" sz="800" b="0" i="0" u="none" strike="noStrike" baseline="0"/>
                      <a:t>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38,523%</a:t>
                    </a:r>
                    <a:r>
                      <a:rPr lang="es-AR" sz="800" b="0" i="0" u="none" strike="noStrike" baseline="0"/>
                      <a:t> </a:t>
                    </a:r>
                    <a:r>
                      <a:rPr lang="es-AR" sz="800" b="0" i="0" u="none" strike="noStrike" baseline="0">
                        <a:effectLst/>
                      </a:rPr>
                      <a:t>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$        944.146,01 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$     2.625.368,56 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s-AR" sz="800" b="0" i="0" u="none" strike="noStrike" baseline="0">
                        <a:effectLst/>
                      </a:rPr>
                      <a:t>9,452%</a:t>
                    </a:r>
                    <a:r>
                      <a:rPr lang="es-AR" sz="800" b="0" i="0" u="none" strike="noStrike" baseline="0"/>
                      <a:t>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47,975%</a:t>
                    </a:r>
                    <a:r>
                      <a:rPr lang="es-AR" sz="800" b="0" i="0" u="none" strike="noStrike" baseline="0"/>
                      <a:t> </a:t>
                    </a:r>
                    <a:r>
                      <a:rPr lang="es-AR" sz="800" b="0" i="0" u="none" strike="noStrike" baseline="0">
                        <a:effectLst/>
                      </a:rPr>
                      <a:t>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$     1.054.918,30 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$     3.680.286,86 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s-AR" sz="800" b="0" i="0" u="none" strike="noStrike" baseline="0">
                        <a:effectLst/>
                      </a:rPr>
                      <a:t>10,493%</a:t>
                    </a:r>
                    <a:r>
                      <a:rPr lang="es-AR" sz="800" b="0" i="0" u="none" strike="noStrike" baseline="0"/>
                      <a:t>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58,468%</a:t>
                    </a:r>
                    <a:r>
                      <a:rPr lang="es-AR" sz="800" b="0" i="0" u="none" strike="noStrike" baseline="0"/>
                      <a:t> </a:t>
                    </a:r>
                    <a:r>
                      <a:rPr lang="es-AR" sz="800" b="0" i="0" u="none" strike="noStrike" baseline="0">
                        <a:effectLst/>
                      </a:rPr>
                      <a:t>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$   1.171.070,67 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$   4.851.357,53 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es-AR" sz="800" b="0" i="0" u="none" strike="noStrike" baseline="0">
                        <a:effectLst/>
                      </a:rPr>
                      <a:t>9,114%</a:t>
                    </a:r>
                    <a:r>
                      <a:rPr lang="es-AR" sz="800" b="0" i="0" u="none" strike="noStrike" baseline="0"/>
                      <a:t>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67,582%</a:t>
                    </a:r>
                    <a:r>
                      <a:rPr lang="es-AR" sz="800" b="0" i="0" u="none" strike="noStrike" baseline="0"/>
                      <a:t> </a:t>
                    </a:r>
                    <a:r>
                      <a:rPr lang="es-AR" sz="800" b="0" i="0" u="none" strike="noStrike" baseline="0">
                        <a:effectLst/>
                      </a:rPr>
                      <a:t>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$    1.017.167,79 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$    5.868.525,32 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es-AR" sz="800" b="0" i="0" u="none" strike="noStrike" baseline="0">
                        <a:effectLst/>
                      </a:rPr>
                      <a:t>10,076%</a:t>
                    </a:r>
                    <a:r>
                      <a:rPr lang="es-AR" sz="800" b="0" i="0" u="none" strike="noStrike" baseline="0"/>
                      <a:t>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77,658%</a:t>
                    </a:r>
                    <a:r>
                      <a:rPr lang="es-AR" sz="800" b="0" i="0" u="none" strike="noStrike" baseline="0"/>
                      <a:t> </a:t>
                    </a:r>
                    <a:r>
                      <a:rPr lang="es-AR" sz="800" b="0" i="0" u="none" strike="noStrike" baseline="0">
                        <a:effectLst/>
                      </a:rPr>
                      <a:t>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$    1.124.626,29 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$    6.993.151,61 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s-AR" sz="800" b="0" i="0" u="none" strike="noStrike" baseline="0">
                        <a:effectLst/>
                      </a:rPr>
                      <a:t>13,364%</a:t>
                    </a:r>
                    <a:r>
                      <a:rPr lang="es-AR" sz="800" b="0" i="0" u="none" strike="noStrike" baseline="0"/>
                      <a:t>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91,022%</a:t>
                    </a:r>
                    <a:r>
                      <a:rPr lang="es-AR" sz="800" b="0" i="0" u="none" strike="noStrike" baseline="0"/>
                      <a:t> </a:t>
                    </a:r>
                    <a:r>
                      <a:rPr lang="es-AR" sz="800" b="0" i="0" u="none" strike="noStrike" baseline="0">
                        <a:effectLst/>
                      </a:rPr>
                      <a:t>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$    1.491.533,43 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$    8.484.685,04 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es-AR" sz="800" b="0" i="0" u="none" strike="noStrike" baseline="0">
                        <a:effectLst/>
                      </a:rPr>
                      <a:t>8,978%</a:t>
                    </a:r>
                    <a:r>
                      <a:rPr lang="es-AR" sz="800" b="0" i="0" u="none" strike="noStrike" baseline="0"/>
                      <a:t>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100,000%</a:t>
                    </a:r>
                    <a:r>
                      <a:rPr lang="es-AR" sz="800" b="0" i="0" u="none" strike="noStrike" baseline="0"/>
                      <a:t> </a:t>
                    </a:r>
                    <a:r>
                      <a:rPr lang="es-AR" sz="800" b="0" i="0" u="none" strike="noStrike" baseline="0">
                        <a:effectLst/>
                      </a:rPr>
                      <a:t>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$     1.002.066,29  </a:t>
                    </a:r>
                  </a:p>
                  <a:p>
                    <a:r>
                      <a:rPr lang="es-AR" sz="800" b="0" i="0" u="none" strike="noStrike" baseline="0">
                        <a:effectLst/>
                      </a:rPr>
                      <a:t>$     9.486.751,33 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gradFill>
                <a:gsLst>
                  <a:gs pos="90000">
                    <a:srgbClr val="D8E1F2">
                      <a:lumMod val="100000"/>
                    </a:srgbClr>
                  </a:gs>
                  <a:gs pos="77100">
                    <a:srgbClr val="D3DDF1"/>
                  </a:gs>
                  <a:gs pos="37900">
                    <a:srgbClr val="C1CDE2"/>
                  </a:gs>
                  <a:gs pos="0">
                    <a:schemeClr val="bg1">
                      <a:lumMod val="75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  <c:txPr>
              <a:bodyPr/>
              <a:lstStyle/>
              <a:p>
                <a:pPr>
                  <a:defRPr sz="800"/>
                </a:pPr>
                <a:endParaRPr lang="es-A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og"/>
            <c:dispRSqr val="0"/>
            <c:dispEq val="0"/>
          </c:trendline>
          <c:xVal>
            <c:numRef>
              <c:f>'Plan de Trabajo'!$Y$105:$AH$105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'Plan de Trabajo'!$Y$106:$AH$106</c:f>
              <c:numCache>
                <c:formatCode>0.00%</c:formatCode>
                <c:ptCount val="10"/>
                <c:pt idx="0">
                  <c:v>0.15</c:v>
                </c:pt>
                <c:pt idx="1">
                  <c:v>0.21552673155080693</c:v>
                </c:pt>
                <c:pt idx="2">
                  <c:v>0.30063525135036168</c:v>
                </c:pt>
                <c:pt idx="3">
                  <c:v>0.385229447311352</c:v>
                </c:pt>
                <c:pt idx="4">
                  <c:v>0.47974869045061785</c:v>
                </c:pt>
                <c:pt idx="5">
                  <c:v>0.58467502741386423</c:v>
                </c:pt>
                <c:pt idx="6">
                  <c:v>0.67581587608797178</c:v>
                </c:pt>
                <c:pt idx="7">
                  <c:v>0.77658086048803576</c:v>
                </c:pt>
                <c:pt idx="8">
                  <c:v>0.91022022503066369</c:v>
                </c:pt>
                <c:pt idx="9">
                  <c:v>1.0000040000000001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0704"/>
        <c:axId val="142569472"/>
      </c:scatterChart>
      <c:valAx>
        <c:axId val="174200704"/>
        <c:scaling>
          <c:orientation val="minMax"/>
          <c:max val="9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s-AR" sz="1600"/>
                  <a:t>Meses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69472"/>
        <c:crosses val="autoZero"/>
        <c:crossBetween val="midCat"/>
        <c:majorUnit val="1"/>
        <c:minorUnit val="0.2"/>
      </c:valAx>
      <c:valAx>
        <c:axId val="142569472"/>
        <c:scaling>
          <c:orientation val="minMax"/>
          <c:max val="1.0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s-AR" sz="1600"/>
                  <a:t>%</a:t>
                </a:r>
                <a:r>
                  <a:rPr lang="es-AR" sz="1600" baseline="0"/>
                  <a:t> de Avance </a:t>
                </a:r>
                <a:endParaRPr lang="es-AR" sz="1600"/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74200704"/>
        <c:crossesAt val="0"/>
        <c:crossBetween val="midCat"/>
        <c:majorUnit val="0.2"/>
        <c:minorUnit val="1.0000000000000002E-2"/>
      </c:valAx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2060"/>
  </sheetPr>
  <sheetViews>
    <sheetView zoomScale="85" workbookViewId="0"/>
  </sheetViews>
  <pageMargins left="0.19685039370078741" right="0.19685039370078741" top="0.39370078740157483" bottom="1.1811023622047245" header="0" footer="0"/>
  <pageSetup paperSize="9" orientation="landscape" verticalDpi="1200" r:id="rId1"/>
  <headerFooter>
    <oddFooter>&amp;C&amp;G&amp;R&amp;G</oddFooter>
  </headerFooter>
  <drawing r:id="rId2"/>
  <legacyDrawingHF r:id="rId3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4.jpeg"/><Relationship Id="rId4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6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2</xdr:row>
      <xdr:rowOff>598712</xdr:rowOff>
    </xdr:from>
    <xdr:to>
      <xdr:col>9</xdr:col>
      <xdr:colOff>982435</xdr:colOff>
      <xdr:row>4</xdr:row>
      <xdr:rowOff>92526</xdr:rowOff>
    </xdr:to>
    <xdr:pic>
      <xdr:nvPicPr>
        <xdr:cNvPr id="2049" name="1 Imagen" descr="SELLO ES COPIA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951349">
          <a:off x="8797017" y="830033"/>
          <a:ext cx="839561" cy="3918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1164772</xdr:colOff>
      <xdr:row>2</xdr:row>
      <xdr:rowOff>326569</xdr:rowOff>
    </xdr:from>
    <xdr:to>
      <xdr:col>11</xdr:col>
      <xdr:colOff>163736</xdr:colOff>
      <xdr:row>5</xdr:row>
      <xdr:rowOff>124643</xdr:rowOff>
    </xdr:to>
    <xdr:pic>
      <xdr:nvPicPr>
        <xdr:cNvPr id="2050" name="2 Imagen" descr="SELLO FOLIO.jpg"/>
        <xdr:cNvPicPr>
          <a:picLocks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818915" y="557890"/>
          <a:ext cx="972000" cy="981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650420</xdr:colOff>
      <xdr:row>2</xdr:row>
      <xdr:rowOff>339869</xdr:rowOff>
    </xdr:from>
    <xdr:to>
      <xdr:col>15</xdr:col>
      <xdr:colOff>612320</xdr:colOff>
      <xdr:row>2</xdr:row>
      <xdr:rowOff>592962</xdr:rowOff>
    </xdr:to>
    <xdr:pic>
      <xdr:nvPicPr>
        <xdr:cNvPr id="2051" name="3 Imagen" descr="SELLO ORIGINAL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-451715">
          <a:off x="13441134" y="571190"/>
          <a:ext cx="1050472" cy="2530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absolute">
    <xdr:from>
      <xdr:col>18</xdr:col>
      <xdr:colOff>323852</xdr:colOff>
      <xdr:row>17</xdr:row>
      <xdr:rowOff>85106</xdr:rowOff>
    </xdr:from>
    <xdr:to>
      <xdr:col>19</xdr:col>
      <xdr:colOff>533852</xdr:colOff>
      <xdr:row>22</xdr:row>
      <xdr:rowOff>36571</xdr:rowOff>
    </xdr:to>
    <xdr:pic>
      <xdr:nvPicPr>
        <xdr:cNvPr id="2052" name="4 Imagen" descr="DC INTEGRAL.jpg"/>
        <xdr:cNvPicPr>
          <a:picLocks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7305566" y="4569279"/>
          <a:ext cx="972000" cy="97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absolute">
    <xdr:from>
      <xdr:col>3</xdr:col>
      <xdr:colOff>81645</xdr:colOff>
      <xdr:row>2</xdr:row>
      <xdr:rowOff>326573</xdr:rowOff>
    </xdr:from>
    <xdr:to>
      <xdr:col>4</xdr:col>
      <xdr:colOff>822324</xdr:colOff>
      <xdr:row>5</xdr:row>
      <xdr:rowOff>114751</xdr:rowOff>
    </xdr:to>
    <xdr:pic>
      <xdr:nvPicPr>
        <xdr:cNvPr id="6" name="4 Imagen" descr="DC INTEGRAL.jpg"/>
        <xdr:cNvPicPr>
          <a:picLocks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796145" y="557894"/>
          <a:ext cx="972000" cy="97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705112</xdr:colOff>
      <xdr:row>6</xdr:row>
      <xdr:rowOff>32584</xdr:rowOff>
    </xdr:from>
    <xdr:to>
      <xdr:col>10</xdr:col>
      <xdr:colOff>484862</xdr:colOff>
      <xdr:row>7</xdr:row>
      <xdr:rowOff>97085</xdr:rowOff>
    </xdr:to>
    <xdr:pic>
      <xdr:nvPicPr>
        <xdr:cNvPr id="2" name="1 Imagen" descr="SELLO ES COPIA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951349">
          <a:off x="10087237" y="1375609"/>
          <a:ext cx="751300" cy="255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588311</xdr:colOff>
      <xdr:row>3</xdr:row>
      <xdr:rowOff>103413</xdr:rowOff>
    </xdr:from>
    <xdr:to>
      <xdr:col>11</xdr:col>
      <xdr:colOff>641561</xdr:colOff>
      <xdr:row>6</xdr:row>
      <xdr:rowOff>51888</xdr:rowOff>
    </xdr:to>
    <xdr:pic>
      <xdr:nvPicPr>
        <xdr:cNvPr id="3" name="2 Imagen" descr="SELLO FOLIO.jpg"/>
        <xdr:cNvPicPr>
          <a:picLocks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941986" y="674913"/>
          <a:ext cx="720000" cy="720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604717</xdr:colOff>
      <xdr:row>3</xdr:row>
      <xdr:rowOff>100783</xdr:rowOff>
    </xdr:from>
    <xdr:to>
      <xdr:col>13</xdr:col>
      <xdr:colOff>355868</xdr:colOff>
      <xdr:row>4</xdr:row>
      <xdr:rowOff>163376</xdr:rowOff>
    </xdr:to>
    <xdr:pic>
      <xdr:nvPicPr>
        <xdr:cNvPr id="4" name="3 Imagen" descr="SELLO ORIGINAL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-451715">
          <a:off x="12291892" y="672283"/>
          <a:ext cx="1056076" cy="2530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absolute">
    <xdr:from>
      <xdr:col>3</xdr:col>
      <xdr:colOff>38103</xdr:colOff>
      <xdr:row>3</xdr:row>
      <xdr:rowOff>46265</xdr:rowOff>
    </xdr:from>
    <xdr:to>
      <xdr:col>4</xdr:col>
      <xdr:colOff>72303</xdr:colOff>
      <xdr:row>5</xdr:row>
      <xdr:rowOff>185240</xdr:rowOff>
    </xdr:to>
    <xdr:pic>
      <xdr:nvPicPr>
        <xdr:cNvPr id="5" name="4 Imagen" descr="DC INTEGRAL.jpg"/>
        <xdr:cNvPicPr>
          <a:picLocks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324103" y="617765"/>
          <a:ext cx="720000" cy="720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112119</xdr:colOff>
      <xdr:row>3</xdr:row>
      <xdr:rowOff>146219</xdr:rowOff>
    </xdr:from>
    <xdr:to>
      <xdr:col>19</xdr:col>
      <xdr:colOff>794140</xdr:colOff>
      <xdr:row>5</xdr:row>
      <xdr:rowOff>85730</xdr:rowOff>
    </xdr:to>
    <xdr:pic>
      <xdr:nvPicPr>
        <xdr:cNvPr id="3" name="1 Imagen" descr="SELLO ES COPIA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951349">
          <a:off x="14209119" y="608862"/>
          <a:ext cx="682021" cy="3205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80446</xdr:colOff>
      <xdr:row>3</xdr:row>
      <xdr:rowOff>47625</xdr:rowOff>
    </xdr:from>
    <xdr:to>
      <xdr:col>20</xdr:col>
      <xdr:colOff>728446</xdr:colOff>
      <xdr:row>6</xdr:row>
      <xdr:rowOff>124125</xdr:rowOff>
    </xdr:to>
    <xdr:pic>
      <xdr:nvPicPr>
        <xdr:cNvPr id="4" name="2 Imagen" descr="SELLO FOLIO.jpg"/>
        <xdr:cNvPicPr>
          <a:picLocks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053746" y="514350"/>
          <a:ext cx="648000" cy="648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793882</xdr:colOff>
      <xdr:row>7</xdr:row>
      <xdr:rowOff>186644</xdr:rowOff>
    </xdr:from>
    <xdr:to>
      <xdr:col>23</xdr:col>
      <xdr:colOff>90270</xdr:colOff>
      <xdr:row>9</xdr:row>
      <xdr:rowOff>99559</xdr:rowOff>
    </xdr:to>
    <xdr:pic>
      <xdr:nvPicPr>
        <xdr:cNvPr id="5" name="3 Imagen" descr="SELLO ORIGINAL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-451715">
          <a:off x="16700632" y="1411287"/>
          <a:ext cx="1038102" cy="2530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absolute">
    <xdr:from>
      <xdr:col>3</xdr:col>
      <xdr:colOff>77004</xdr:colOff>
      <xdr:row>3</xdr:row>
      <xdr:rowOff>18639</xdr:rowOff>
    </xdr:from>
    <xdr:to>
      <xdr:col>4</xdr:col>
      <xdr:colOff>87954</xdr:colOff>
      <xdr:row>7</xdr:row>
      <xdr:rowOff>51361</xdr:rowOff>
    </xdr:to>
    <xdr:pic>
      <xdr:nvPicPr>
        <xdr:cNvPr id="6" name="4 Imagen" descr="DC INTEGRAL.jpg"/>
        <xdr:cNvPicPr>
          <a:picLocks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15254" y="485364"/>
          <a:ext cx="792000" cy="7947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219765" cy="601755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0.91004</cdr:x>
      <cdr:y>0.00647</cdr:y>
    </cdr:from>
    <cdr:to>
      <cdr:x>0.97343</cdr:x>
      <cdr:y>0.11416</cdr:y>
    </cdr:to>
    <cdr:pic>
      <cdr:nvPicPr>
        <cdr:cNvPr id="3" name="2 Imagen" descr="SELLO FOLIO.jpg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 cstate="print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302384" y="38930"/>
          <a:ext cx="648000" cy="648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pic>
  </cdr:relSizeAnchor>
  <cdr:relSizeAnchor xmlns:cdr="http://schemas.openxmlformats.org/drawingml/2006/chartDrawing">
    <cdr:from>
      <cdr:x>0.01372</cdr:x>
      <cdr:y>0.00879</cdr:y>
    </cdr:from>
    <cdr:to>
      <cdr:x>0.0912</cdr:x>
      <cdr:y>0.14067</cdr:y>
    </cdr:to>
    <cdr:pic>
      <cdr:nvPicPr>
        <cdr:cNvPr id="5" name="4 Imagen" descr="DC INTEGRAL.jpg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2" cstate="print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40245" y="52770"/>
          <a:ext cx="792000" cy="792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1673877" y="12675080"/>
    <xdr:ext cx="540000" cy="540000"/>
    <xdr:pic>
      <xdr:nvPicPr>
        <xdr:cNvPr id="2" name="4 Imagen" descr="DC INTEGRAL.jpg"/>
        <xdr:cNvPicPr>
          <a:picLocks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73877" y="12675080"/>
          <a:ext cx="540000" cy="540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absoluteAnchor>
  <xdr:oneCellAnchor>
    <xdr:from>
      <xdr:col>8</xdr:col>
      <xdr:colOff>154234</xdr:colOff>
      <xdr:row>7</xdr:row>
      <xdr:rowOff>71349</xdr:rowOff>
    </xdr:from>
    <xdr:ext cx="576000" cy="576000"/>
    <xdr:pic>
      <xdr:nvPicPr>
        <xdr:cNvPr id="3" name="2 Imagen" descr="SELLO FOLIO.jpg"/>
        <xdr:cNvPicPr>
          <a:picLocks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155109" y="1223874"/>
          <a:ext cx="576000" cy="57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7</xdr:col>
      <xdr:colOff>128210</xdr:colOff>
      <xdr:row>8</xdr:row>
      <xdr:rowOff>0</xdr:rowOff>
    </xdr:from>
    <xdr:ext cx="680405" cy="199032"/>
    <xdr:pic>
      <xdr:nvPicPr>
        <xdr:cNvPr id="4" name="3 Imagen" descr="SELLO ORIGINAL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-451715">
          <a:off x="6367085" y="1314450"/>
          <a:ext cx="680405" cy="1990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280016</xdr:colOff>
      <xdr:row>12</xdr:row>
      <xdr:rowOff>66676</xdr:rowOff>
    </xdr:from>
    <xdr:ext cx="580321" cy="217078"/>
    <xdr:pic>
      <xdr:nvPicPr>
        <xdr:cNvPr id="5" name="1 Imagen" descr="SELLO ES COPIA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 rot="951349">
          <a:off x="9566891" y="1971676"/>
          <a:ext cx="580321" cy="21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absolute">
    <xdr:from>
      <xdr:col>18</xdr:col>
      <xdr:colOff>361950</xdr:colOff>
      <xdr:row>4</xdr:row>
      <xdr:rowOff>47625</xdr:rowOff>
    </xdr:from>
    <xdr:to>
      <xdr:col>19</xdr:col>
      <xdr:colOff>247950</xdr:colOff>
      <xdr:row>8</xdr:row>
      <xdr:rowOff>28875</xdr:rowOff>
    </xdr:to>
    <xdr:pic>
      <xdr:nvPicPr>
        <xdr:cNvPr id="6" name="4 Imagen" descr="DC INTEGRAL.jpg"/>
        <xdr:cNvPicPr>
          <a:picLocks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82825" y="695325"/>
          <a:ext cx="648000" cy="648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absolute">
    <xdr:from>
      <xdr:col>2</xdr:col>
      <xdr:colOff>57150</xdr:colOff>
      <xdr:row>7</xdr:row>
      <xdr:rowOff>47625</xdr:rowOff>
    </xdr:from>
    <xdr:to>
      <xdr:col>2</xdr:col>
      <xdr:colOff>741150</xdr:colOff>
      <xdr:row>11</xdr:row>
      <xdr:rowOff>83925</xdr:rowOff>
    </xdr:to>
    <xdr:pic>
      <xdr:nvPicPr>
        <xdr:cNvPr id="7" name="4 Imagen" descr="DC INTEGRAL.jpg"/>
        <xdr:cNvPicPr>
          <a:picLocks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0" y="1200150"/>
          <a:ext cx="684000" cy="684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ESUPUESTOS\servclientes\CAJA%20PREVISIONAL\AMPLIACION%20Y%20REMODELACION\REMODELACION%20NUEVA%20SEDE\EXCEL\Analisis%20Caja%20Previsio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ESUPUESTOS/servclientes/DPRG/ESCUELAS/Berruti-500-221-15/Analisis%20Plantilla%20General%20BERRUTI%20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ESUPUESTOS\servclientes\MUNICIPALIDAD%20DE%20IGLISIA\SALON%20CLUB%20PISMANTA\SALON%20CLUB%20PISMANTA\EXCEL\COMP%20Y%20PRESUP%20SALON%20PISMANTA%20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es M.O."/>
      <sheetName val="Rubros Subrubros"/>
      <sheetName val="AP MI"/>
      <sheetName val="Computo y Presupuesto Interno"/>
      <sheetName val="Plan de trabajo"/>
      <sheetName val="GG"/>
      <sheetName val="Gráfico1"/>
      <sheetName val="Hoja2"/>
    </sheetNames>
    <sheetDataSet>
      <sheetData sheetId="0">
        <row r="4">
          <cell r="B4" t="str">
            <v>M001</v>
          </cell>
          <cell r="C4">
            <v>0</v>
          </cell>
          <cell r="D4" t="str">
            <v>-</v>
          </cell>
          <cell r="E4">
            <v>0</v>
          </cell>
        </row>
        <row r="5">
          <cell r="B5" t="str">
            <v>M002</v>
          </cell>
          <cell r="C5" t="str">
            <v xml:space="preserve">Accesorios </v>
          </cell>
          <cell r="D5" t="str">
            <v>gl</v>
          </cell>
          <cell r="E5">
            <v>1.5</v>
          </cell>
        </row>
        <row r="6">
          <cell r="B6" t="str">
            <v>M003</v>
          </cell>
          <cell r="C6" t="str">
            <v xml:space="preserve">Accesorios </v>
          </cell>
          <cell r="D6" t="str">
            <v>gl</v>
          </cell>
          <cell r="E6">
            <v>2.5</v>
          </cell>
        </row>
        <row r="7">
          <cell r="B7" t="str">
            <v>M004</v>
          </cell>
          <cell r="C7" t="str">
            <v xml:space="preserve">Accesorios </v>
          </cell>
          <cell r="D7" t="str">
            <v>gl</v>
          </cell>
          <cell r="E7">
            <v>5</v>
          </cell>
        </row>
        <row r="8">
          <cell r="B8" t="str">
            <v>M005</v>
          </cell>
          <cell r="C8" t="str">
            <v xml:space="preserve">Accesorios </v>
          </cell>
          <cell r="D8" t="str">
            <v>gl</v>
          </cell>
          <cell r="E8">
            <v>10</v>
          </cell>
        </row>
        <row r="9">
          <cell r="B9" t="str">
            <v>M006</v>
          </cell>
          <cell r="C9" t="str">
            <v xml:space="preserve">Accesorios </v>
          </cell>
          <cell r="D9" t="str">
            <v>gl</v>
          </cell>
          <cell r="E9">
            <v>25</v>
          </cell>
        </row>
        <row r="10">
          <cell r="B10" t="str">
            <v>M007</v>
          </cell>
          <cell r="C10" t="str">
            <v>Accesorios</v>
          </cell>
          <cell r="D10" t="str">
            <v>gl</v>
          </cell>
          <cell r="E10">
            <v>50</v>
          </cell>
        </row>
        <row r="11">
          <cell r="B11" t="str">
            <v>M008</v>
          </cell>
          <cell r="C11" t="str">
            <v>Accesorios</v>
          </cell>
          <cell r="D11" t="str">
            <v>gl</v>
          </cell>
          <cell r="E11">
            <v>100</v>
          </cell>
        </row>
        <row r="12">
          <cell r="B12" t="str">
            <v>M009</v>
          </cell>
          <cell r="C12" t="str">
            <v>Accesorios</v>
          </cell>
          <cell r="D12" t="str">
            <v>gl</v>
          </cell>
          <cell r="E12">
            <v>250</v>
          </cell>
        </row>
        <row r="13">
          <cell r="B13" t="str">
            <v>M010</v>
          </cell>
          <cell r="C13" t="str">
            <v>Accesorios</v>
          </cell>
          <cell r="D13" t="str">
            <v>gl</v>
          </cell>
          <cell r="E13">
            <v>500</v>
          </cell>
        </row>
        <row r="14">
          <cell r="B14" t="str">
            <v>M011</v>
          </cell>
          <cell r="C14" t="str">
            <v>Accesorios</v>
          </cell>
          <cell r="D14" t="str">
            <v>gl</v>
          </cell>
          <cell r="E14">
            <v>1000</v>
          </cell>
        </row>
        <row r="15">
          <cell r="B15" t="str">
            <v>M012</v>
          </cell>
          <cell r="C15" t="str">
            <v>Accesorios</v>
          </cell>
          <cell r="D15" t="str">
            <v>gl</v>
          </cell>
          <cell r="E15">
            <v>1500</v>
          </cell>
        </row>
        <row r="16">
          <cell r="B16" t="str">
            <v>M013</v>
          </cell>
          <cell r="C16" t="str">
            <v>Accesorios</v>
          </cell>
          <cell r="D16" t="str">
            <v>gl</v>
          </cell>
          <cell r="E16">
            <v>2000</v>
          </cell>
        </row>
        <row r="17">
          <cell r="B17" t="str">
            <v>M014</v>
          </cell>
          <cell r="C17" t="str">
            <v>Reglas Metálicas/tablas</v>
          </cell>
          <cell r="D17" t="str">
            <v>ml</v>
          </cell>
          <cell r="E17">
            <v>0</v>
          </cell>
        </row>
        <row r="18">
          <cell r="B18" t="str">
            <v>M015</v>
          </cell>
          <cell r="C18" t="str">
            <v>Agua de Construccion</v>
          </cell>
          <cell r="D18" t="str">
            <v>gl</v>
          </cell>
          <cell r="E18">
            <v>0</v>
          </cell>
        </row>
        <row r="19">
          <cell r="B19" t="str">
            <v>M016</v>
          </cell>
          <cell r="C19" t="str">
            <v>Obrador</v>
          </cell>
          <cell r="D19" t="str">
            <v>gl</v>
          </cell>
          <cell r="E19">
            <v>0</v>
          </cell>
        </row>
        <row r="20">
          <cell r="B20" t="str">
            <v>M017</v>
          </cell>
          <cell r="C20" t="str">
            <v>Clavos</v>
          </cell>
          <cell r="D20" t="str">
            <v>kg</v>
          </cell>
          <cell r="E20">
            <v>12.247874999999999</v>
          </cell>
        </row>
        <row r="21">
          <cell r="B21" t="str">
            <v>M018</v>
          </cell>
          <cell r="C21" t="str">
            <v>Encofrado</v>
          </cell>
          <cell r="D21" t="str">
            <v>gl</v>
          </cell>
          <cell r="E21">
            <v>230</v>
          </cell>
        </row>
        <row r="22">
          <cell r="B22" t="str">
            <v>M019</v>
          </cell>
          <cell r="C22" t="str">
            <v>Alambre Gal. N° 17</v>
          </cell>
          <cell r="D22" t="str">
            <v>kg</v>
          </cell>
          <cell r="E22">
            <v>15</v>
          </cell>
        </row>
        <row r="23">
          <cell r="B23" t="str">
            <v>M020</v>
          </cell>
          <cell r="C23" t="str">
            <v>Hierro</v>
          </cell>
          <cell r="D23" t="str">
            <v>kg</v>
          </cell>
          <cell r="E23">
            <v>10</v>
          </cell>
        </row>
        <row r="24">
          <cell r="B24" t="str">
            <v>M021</v>
          </cell>
          <cell r="C24" t="str">
            <v>Chapa T101 Transparente</v>
          </cell>
          <cell r="D24" t="str">
            <v>m²</v>
          </cell>
          <cell r="E24">
            <v>45.454545454545453</v>
          </cell>
        </row>
        <row r="25">
          <cell r="B25" t="str">
            <v>M022</v>
          </cell>
          <cell r="C25" t="str">
            <v>Chapa T101 N° 25</v>
          </cell>
          <cell r="D25" t="str">
            <v>m²</v>
          </cell>
          <cell r="E25">
            <v>67.107438016528931</v>
          </cell>
        </row>
        <row r="26">
          <cell r="B26" t="str">
            <v>M023</v>
          </cell>
          <cell r="C26" t="str">
            <v>Liso Ø 10</v>
          </cell>
          <cell r="D26" t="str">
            <v>kg</v>
          </cell>
          <cell r="E26">
            <v>0</v>
          </cell>
        </row>
        <row r="27">
          <cell r="B27" t="str">
            <v>M024</v>
          </cell>
          <cell r="C27" t="str">
            <v>Liso Ø 12</v>
          </cell>
          <cell r="D27" t="str">
            <v>kg</v>
          </cell>
          <cell r="E27">
            <v>11.20905</v>
          </cell>
        </row>
        <row r="28">
          <cell r="B28" t="str">
            <v>M025</v>
          </cell>
          <cell r="C28" t="str">
            <v>Liso Ø 16</v>
          </cell>
          <cell r="D28" t="str">
            <v>kg</v>
          </cell>
          <cell r="E28">
            <v>1.303006329113924</v>
          </cell>
        </row>
        <row r="29">
          <cell r="B29" t="str">
            <v>M026</v>
          </cell>
          <cell r="C29" t="str">
            <v>Mexpol Poliespuma 1 cm</v>
          </cell>
          <cell r="D29" t="str">
            <v>m²</v>
          </cell>
          <cell r="E29">
            <v>22.727272727272727</v>
          </cell>
        </row>
        <row r="30">
          <cell r="B30" t="str">
            <v>M027</v>
          </cell>
          <cell r="C30" t="str">
            <v>Lana de vidrio con aluminio</v>
          </cell>
          <cell r="D30" t="str">
            <v>m²</v>
          </cell>
          <cell r="E30">
            <v>43.560606060606062</v>
          </cell>
        </row>
        <row r="31">
          <cell r="B31" t="str">
            <v>M028</v>
          </cell>
          <cell r="C31" t="str">
            <v>Alambre Gal. N° 14</v>
          </cell>
          <cell r="D31" t="str">
            <v>kg</v>
          </cell>
          <cell r="E31">
            <v>12.953250000000001</v>
          </cell>
        </row>
        <row r="32">
          <cell r="B32" t="str">
            <v>M029</v>
          </cell>
          <cell r="C32" t="str">
            <v>Tornillos autoperforantes Exagonal 1"</v>
          </cell>
          <cell r="D32" t="str">
            <v>un</v>
          </cell>
          <cell r="E32">
            <v>1.0165289256198349</v>
          </cell>
        </row>
        <row r="33">
          <cell r="B33" t="str">
            <v>M030</v>
          </cell>
          <cell r="C33" t="str">
            <v xml:space="preserve">Perfil C - </v>
          </cell>
          <cell r="D33" t="str">
            <v>kg</v>
          </cell>
          <cell r="E33">
            <v>14.014737556406983</v>
          </cell>
        </row>
        <row r="34">
          <cell r="B34" t="str">
            <v>M031</v>
          </cell>
          <cell r="C34" t="str">
            <v>Caño Extructural y chap</v>
          </cell>
          <cell r="D34" t="str">
            <v>kg</v>
          </cell>
          <cell r="E34">
            <v>16</v>
          </cell>
        </row>
        <row r="35">
          <cell r="B35" t="str">
            <v>M032</v>
          </cell>
          <cell r="C35" t="str">
            <v>Pletinas 3/8</v>
          </cell>
          <cell r="D35" t="str">
            <v>kg</v>
          </cell>
          <cell r="E35">
            <v>7.5</v>
          </cell>
        </row>
        <row r="36">
          <cell r="B36" t="str">
            <v>M033</v>
          </cell>
          <cell r="C36" t="str">
            <v>Caño 50x50x2</v>
          </cell>
          <cell r="D36" t="str">
            <v>kg</v>
          </cell>
          <cell r="E36">
            <v>7.5</v>
          </cell>
        </row>
        <row r="37">
          <cell r="B37" t="str">
            <v>M034</v>
          </cell>
          <cell r="C37" t="str">
            <v>Caño 50x70x2</v>
          </cell>
          <cell r="D37" t="str">
            <v>ml</v>
          </cell>
          <cell r="E37">
            <v>44.903581267217639</v>
          </cell>
        </row>
        <row r="38">
          <cell r="B38" t="str">
            <v>M035</v>
          </cell>
          <cell r="C38" t="str">
            <v>Caño 50x50x2</v>
          </cell>
          <cell r="D38" t="str">
            <v>ml</v>
          </cell>
          <cell r="E38">
            <v>37.947658402203857</v>
          </cell>
        </row>
        <row r="39">
          <cell r="B39" t="str">
            <v>M036</v>
          </cell>
          <cell r="C39" t="str">
            <v>Chapa Fi 1,5 x 6,0</v>
          </cell>
          <cell r="D39" t="str">
            <v>m²</v>
          </cell>
          <cell r="E39">
            <v>370.3397612488522</v>
          </cell>
        </row>
        <row r="40">
          <cell r="B40" t="str">
            <v>M037</v>
          </cell>
          <cell r="C40" t="str">
            <v>Chapa N° 22 Gal</v>
          </cell>
          <cell r="D40" t="str">
            <v>m²</v>
          </cell>
          <cell r="E40">
            <v>83.42</v>
          </cell>
        </row>
        <row r="41">
          <cell r="B41" t="str">
            <v>M038</v>
          </cell>
          <cell r="C41" t="str">
            <v>Electrodos</v>
          </cell>
          <cell r="D41" t="str">
            <v>kg</v>
          </cell>
          <cell r="E41">
            <v>41.32231404958678</v>
          </cell>
        </row>
        <row r="42">
          <cell r="B42" t="str">
            <v>M039</v>
          </cell>
          <cell r="C42" t="str">
            <v>alfigias</v>
          </cell>
          <cell r="D42" t="str">
            <v>gl</v>
          </cell>
          <cell r="E42">
            <v>5.5</v>
          </cell>
        </row>
        <row r="43">
          <cell r="B43" t="str">
            <v>M040</v>
          </cell>
          <cell r="C43" t="str">
            <v>Vallado de Madera</v>
          </cell>
          <cell r="D43" t="str">
            <v>ml</v>
          </cell>
          <cell r="E43">
            <v>1.5</v>
          </cell>
        </row>
        <row r="44">
          <cell r="B44" t="str">
            <v>M041</v>
          </cell>
          <cell r="C44" t="str">
            <v>Correa S/C</v>
          </cell>
          <cell r="D44" t="str">
            <v>kg</v>
          </cell>
          <cell r="E44">
            <v>9</v>
          </cell>
        </row>
        <row r="45">
          <cell r="B45" t="str">
            <v>M042</v>
          </cell>
          <cell r="C45" t="str">
            <v>Accesorios Soldadura</v>
          </cell>
          <cell r="D45" t="str">
            <v>gl</v>
          </cell>
          <cell r="E45">
            <v>1</v>
          </cell>
        </row>
        <row r="46">
          <cell r="B46" t="str">
            <v>M043</v>
          </cell>
          <cell r="C46" t="str">
            <v>Red Sosten 2" x 200</v>
          </cell>
          <cell r="D46" t="str">
            <v>m²</v>
          </cell>
          <cell r="E46">
            <v>1.5</v>
          </cell>
        </row>
        <row r="47">
          <cell r="B47" t="str">
            <v>M044</v>
          </cell>
          <cell r="C47" t="str">
            <v>Caño Estructural S/C</v>
          </cell>
          <cell r="D47" t="str">
            <v>Kg</v>
          </cell>
          <cell r="E47">
            <v>9</v>
          </cell>
        </row>
        <row r="48">
          <cell r="B48" t="str">
            <v>M045</v>
          </cell>
          <cell r="C48" t="str">
            <v>Hidrófugo</v>
          </cell>
          <cell r="E48">
            <v>0</v>
          </cell>
        </row>
        <row r="49">
          <cell r="B49" t="str">
            <v>M046</v>
          </cell>
          <cell r="C49" t="str">
            <v>Ceramico 30 x 30</v>
          </cell>
          <cell r="D49" t="str">
            <v>m²</v>
          </cell>
          <cell r="E49">
            <v>64</v>
          </cell>
        </row>
        <row r="50">
          <cell r="B50" t="str">
            <v>M047</v>
          </cell>
          <cell r="C50" t="str">
            <v>Madera alamo 3/4</v>
          </cell>
          <cell r="D50" t="str">
            <v>m²</v>
          </cell>
          <cell r="E50">
            <v>0</v>
          </cell>
        </row>
        <row r="51">
          <cell r="B51" t="str">
            <v>M048</v>
          </cell>
          <cell r="C51" t="str">
            <v>Chapa Acanalada Nº 27</v>
          </cell>
          <cell r="D51" t="str">
            <v>m²</v>
          </cell>
          <cell r="E51">
            <v>63.249999999999993</v>
          </cell>
        </row>
        <row r="52">
          <cell r="B52" t="str">
            <v>M049</v>
          </cell>
          <cell r="C52" t="str">
            <v>Sika90E</v>
          </cell>
          <cell r="D52" t="str">
            <v>lts</v>
          </cell>
          <cell r="E52">
            <v>33.925619834710744</v>
          </cell>
        </row>
        <row r="53">
          <cell r="B53" t="str">
            <v>M050</v>
          </cell>
          <cell r="C53" t="str">
            <v>Pintura Satinol</v>
          </cell>
          <cell r="D53" t="str">
            <v>gl</v>
          </cell>
          <cell r="E53">
            <v>81</v>
          </cell>
        </row>
        <row r="54">
          <cell r="B54" t="str">
            <v>M051</v>
          </cell>
          <cell r="C54" t="str">
            <v>Antioxido y Base</v>
          </cell>
          <cell r="D54" t="str">
            <v>gl</v>
          </cell>
          <cell r="E54">
            <v>9</v>
          </cell>
        </row>
        <row r="55">
          <cell r="B55" t="str">
            <v>M052</v>
          </cell>
          <cell r="C55" t="str">
            <v>Accesorios Pintura</v>
          </cell>
          <cell r="D55" t="str">
            <v>gl</v>
          </cell>
          <cell r="E55">
            <v>3.5</v>
          </cell>
        </row>
        <row r="56">
          <cell r="B56" t="str">
            <v>M053</v>
          </cell>
          <cell r="C56" t="str">
            <v>Pintura Latex</v>
          </cell>
          <cell r="D56" t="str">
            <v>gl</v>
          </cell>
          <cell r="E56">
            <v>8.5</v>
          </cell>
        </row>
        <row r="57">
          <cell r="B57" t="str">
            <v>M054</v>
          </cell>
          <cell r="C57" t="str">
            <v>Enduido Plastico</v>
          </cell>
          <cell r="D57" t="str">
            <v>gl</v>
          </cell>
          <cell r="E57">
            <v>4</v>
          </cell>
        </row>
        <row r="58">
          <cell r="B58" t="str">
            <v>M055</v>
          </cell>
          <cell r="C58" t="str">
            <v>Protector Exterior</v>
          </cell>
          <cell r="D58" t="str">
            <v>lts</v>
          </cell>
          <cell r="E58">
            <v>4.8</v>
          </cell>
        </row>
        <row r="59">
          <cell r="B59" t="str">
            <v>M056</v>
          </cell>
          <cell r="C59" t="str">
            <v>Sintetico</v>
          </cell>
          <cell r="D59" t="str">
            <v>lts</v>
          </cell>
          <cell r="E59">
            <v>12</v>
          </cell>
        </row>
        <row r="60">
          <cell r="B60" t="str">
            <v>M057</v>
          </cell>
          <cell r="C60" t="str">
            <v>Látex Interior Exterior</v>
          </cell>
          <cell r="D60" t="str">
            <v>lts</v>
          </cell>
          <cell r="E60">
            <v>4.5</v>
          </cell>
        </row>
        <row r="61">
          <cell r="B61" t="str">
            <v>M058</v>
          </cell>
          <cell r="C61" t="str">
            <v>Pintura Alba Sintetico p/chapa</v>
          </cell>
          <cell r="D61" t="str">
            <v>lts</v>
          </cell>
          <cell r="E61">
            <v>186.78</v>
          </cell>
        </row>
        <row r="62">
          <cell r="B62" t="str">
            <v>M059</v>
          </cell>
          <cell r="C62" t="str">
            <v>Base para sintetico chapa</v>
          </cell>
          <cell r="D62" t="str">
            <v>lts</v>
          </cell>
          <cell r="E62">
            <v>58.62</v>
          </cell>
        </row>
        <row r="63">
          <cell r="B63" t="str">
            <v>M060</v>
          </cell>
          <cell r="C63" t="str">
            <v>Vidrio 3+3</v>
          </cell>
          <cell r="D63" t="str">
            <v>m²</v>
          </cell>
          <cell r="E63">
            <v>495.86776859504135</v>
          </cell>
        </row>
        <row r="64">
          <cell r="B64" t="str">
            <v>M061</v>
          </cell>
          <cell r="C64" t="str">
            <v>Espejo</v>
          </cell>
          <cell r="D64" t="str">
            <v>m²</v>
          </cell>
          <cell r="E64">
            <v>330.57851239669424</v>
          </cell>
        </row>
        <row r="65">
          <cell r="B65" t="str">
            <v>M062</v>
          </cell>
          <cell r="C65" t="str">
            <v>Vidrios laminado de seguridad 5+5 C/ Polivinil</v>
          </cell>
          <cell r="D65" t="str">
            <v>m²</v>
          </cell>
          <cell r="E65">
            <v>454.54545454545456</v>
          </cell>
        </row>
        <row r="66">
          <cell r="B66" t="str">
            <v>M063</v>
          </cell>
          <cell r="C66" t="str">
            <v>Espejo Vasa Mirage Float 6mm(5mm consegui)</v>
          </cell>
          <cell r="D66" t="str">
            <v>m²</v>
          </cell>
          <cell r="E66">
            <v>371.90082644628103</v>
          </cell>
        </row>
        <row r="67">
          <cell r="B67" t="str">
            <v>M064</v>
          </cell>
          <cell r="C67" t="str">
            <v>Mesada Granito Marron Coco</v>
          </cell>
          <cell r="D67" t="str">
            <v>m²</v>
          </cell>
          <cell r="E67">
            <v>1404.9586776859505</v>
          </cell>
        </row>
        <row r="68">
          <cell r="B68" t="str">
            <v>M065</v>
          </cell>
          <cell r="C68" t="str">
            <v>Mesada Granito Gris</v>
          </cell>
          <cell r="D68" t="str">
            <v>m²</v>
          </cell>
          <cell r="E68">
            <v>1050</v>
          </cell>
        </row>
        <row r="69">
          <cell r="B69" t="str">
            <v>M066</v>
          </cell>
          <cell r="C69" t="str">
            <v>Mensula metálica</v>
          </cell>
          <cell r="D69" t="str">
            <v>un</v>
          </cell>
          <cell r="E69">
            <v>125</v>
          </cell>
        </row>
        <row r="70">
          <cell r="B70" t="str">
            <v>M067</v>
          </cell>
          <cell r="E70">
            <v>0</v>
          </cell>
        </row>
        <row r="71">
          <cell r="B71" t="str">
            <v>M068</v>
          </cell>
          <cell r="C71" t="str">
            <v>malla sima de 15x15</v>
          </cell>
          <cell r="D71" t="str">
            <v>un</v>
          </cell>
          <cell r="E71">
            <v>290</v>
          </cell>
        </row>
        <row r="72">
          <cell r="B72" t="str">
            <v>M069</v>
          </cell>
          <cell r="C72" t="str">
            <v>Demoliciones</v>
          </cell>
          <cell r="E72">
            <v>12500</v>
          </cell>
        </row>
        <row r="73">
          <cell r="B73" t="str">
            <v>M070</v>
          </cell>
          <cell r="C73" t="str">
            <v>Matafuego ABC 10 kg</v>
          </cell>
          <cell r="D73" t="str">
            <v>un</v>
          </cell>
          <cell r="E73">
            <v>420</v>
          </cell>
        </row>
        <row r="74">
          <cell r="B74" t="str">
            <v>M071</v>
          </cell>
          <cell r="C74" t="str">
            <v>Carteleria</v>
          </cell>
          <cell r="D74" t="str">
            <v>gl</v>
          </cell>
          <cell r="E74">
            <v>150</v>
          </cell>
        </row>
        <row r="75">
          <cell r="B75" t="str">
            <v>M072</v>
          </cell>
          <cell r="C75" t="str">
            <v>Hierro 4,2</v>
          </cell>
          <cell r="D75" t="str">
            <v>un</v>
          </cell>
          <cell r="E75">
            <v>15</v>
          </cell>
        </row>
        <row r="76">
          <cell r="B76" t="str">
            <v>M073</v>
          </cell>
          <cell r="C76" t="str">
            <v>hierro 8</v>
          </cell>
          <cell r="D76" t="str">
            <v>un</v>
          </cell>
          <cell r="E76">
            <v>57</v>
          </cell>
        </row>
        <row r="77">
          <cell r="B77" t="str">
            <v>M074</v>
          </cell>
          <cell r="C77" t="str">
            <v>Hierro 10</v>
          </cell>
          <cell r="D77" t="str">
            <v>kg</v>
          </cell>
          <cell r="E77">
            <v>6.33</v>
          </cell>
        </row>
        <row r="78">
          <cell r="B78" t="str">
            <v>M075</v>
          </cell>
          <cell r="C78" t="str">
            <v>Hierro 12</v>
          </cell>
          <cell r="D78" t="str">
            <v>kg</v>
          </cell>
          <cell r="E78">
            <v>6.33</v>
          </cell>
        </row>
        <row r="79">
          <cell r="B79" t="str">
            <v>M076</v>
          </cell>
          <cell r="C79" t="str">
            <v>Hierro 16</v>
          </cell>
          <cell r="D79" t="str">
            <v>kg</v>
          </cell>
          <cell r="E79">
            <v>6.33</v>
          </cell>
        </row>
        <row r="80">
          <cell r="B80" t="str">
            <v>M077</v>
          </cell>
          <cell r="C80" t="str">
            <v>Inst. base cloacal, caños, cámaras y ventilación</v>
          </cell>
          <cell r="D80" t="str">
            <v>gl</v>
          </cell>
          <cell r="E80">
            <v>15000</v>
          </cell>
        </row>
        <row r="81">
          <cell r="B81" t="str">
            <v>M078</v>
          </cell>
          <cell r="C81" t="str">
            <v>Dispositivos de tratamiento, cámara séptica y otros</v>
          </cell>
          <cell r="D81" t="str">
            <v>gl</v>
          </cell>
          <cell r="E81">
            <v>37000</v>
          </cell>
        </row>
        <row r="82">
          <cell r="B82" t="str">
            <v>M079</v>
          </cell>
          <cell r="C82" t="str">
            <v>Cañería distribución agua fría-caliente</v>
          </cell>
          <cell r="D82" t="str">
            <v>gl</v>
          </cell>
          <cell r="E82">
            <v>27000</v>
          </cell>
        </row>
        <row r="83">
          <cell r="B83" t="str">
            <v>M080</v>
          </cell>
          <cell r="C83" t="str">
            <v>Tanque de reserva</v>
          </cell>
          <cell r="D83" t="str">
            <v>gl</v>
          </cell>
          <cell r="E83">
            <v>9000</v>
          </cell>
        </row>
        <row r="84">
          <cell r="B84" t="str">
            <v>M081</v>
          </cell>
          <cell r="C84" t="str">
            <v>Artefactos sanitarios y grifería</v>
          </cell>
          <cell r="D84" t="str">
            <v>gl</v>
          </cell>
          <cell r="E84">
            <v>40000</v>
          </cell>
        </row>
        <row r="85">
          <cell r="B85" t="str">
            <v>M082</v>
          </cell>
          <cell r="C85" t="str">
            <v>Cañería de desagüe pluvial</v>
          </cell>
          <cell r="D85" t="str">
            <v>gl</v>
          </cell>
          <cell r="E85">
            <v>2500</v>
          </cell>
        </row>
        <row r="86">
          <cell r="B86" t="str">
            <v>M083</v>
          </cell>
          <cell r="C86" t="str">
            <v>Uniones TDC x 560</v>
          </cell>
          <cell r="D86" t="str">
            <v>gl</v>
          </cell>
          <cell r="E86">
            <v>17502</v>
          </cell>
        </row>
        <row r="87">
          <cell r="B87" t="str">
            <v>M084</v>
          </cell>
          <cell r="C87">
            <v>0</v>
          </cell>
          <cell r="D87" t="str">
            <v>un</v>
          </cell>
          <cell r="E87">
            <v>0</v>
          </cell>
        </row>
        <row r="88">
          <cell r="B88" t="str">
            <v>M085</v>
          </cell>
          <cell r="C88">
            <v>0</v>
          </cell>
          <cell r="D88" t="str">
            <v>un</v>
          </cell>
          <cell r="E88">
            <v>0</v>
          </cell>
        </row>
        <row r="89">
          <cell r="B89" t="str">
            <v>M086</v>
          </cell>
          <cell r="C89">
            <v>0</v>
          </cell>
          <cell r="D89" t="str">
            <v>un</v>
          </cell>
          <cell r="E89">
            <v>0</v>
          </cell>
        </row>
        <row r="90">
          <cell r="B90" t="str">
            <v>M087</v>
          </cell>
          <cell r="C90">
            <v>0</v>
          </cell>
          <cell r="D90" t="str">
            <v>un</v>
          </cell>
          <cell r="E90">
            <v>0</v>
          </cell>
        </row>
        <row r="91">
          <cell r="B91" t="str">
            <v>M088</v>
          </cell>
          <cell r="C91" t="str">
            <v>varila roscada 8</v>
          </cell>
          <cell r="D91" t="str">
            <v>un</v>
          </cell>
          <cell r="E91">
            <v>14.9</v>
          </cell>
        </row>
        <row r="92">
          <cell r="B92" t="str">
            <v>M089</v>
          </cell>
          <cell r="C92" t="str">
            <v>tuercas de 8</v>
          </cell>
          <cell r="D92" t="str">
            <v>un</v>
          </cell>
          <cell r="E92">
            <v>0.38</v>
          </cell>
        </row>
        <row r="93">
          <cell r="B93" t="str">
            <v>M090</v>
          </cell>
          <cell r="C93" t="str">
            <v>arandelas del 8</v>
          </cell>
          <cell r="D93" t="str">
            <v>un</v>
          </cell>
          <cell r="E93">
            <v>0.3</v>
          </cell>
        </row>
        <row r="94">
          <cell r="B94" t="str">
            <v>M091</v>
          </cell>
          <cell r="C94" t="str">
            <v>angulo 5/8x1/8 x 6m</v>
          </cell>
          <cell r="D94" t="str">
            <v>un</v>
          </cell>
          <cell r="E94">
            <v>57.03</v>
          </cell>
        </row>
        <row r="95">
          <cell r="B95" t="str">
            <v>M092</v>
          </cell>
          <cell r="C95" t="str">
            <v>planchuela 1/2x1/8 x6m</v>
          </cell>
          <cell r="D95" t="str">
            <v>un</v>
          </cell>
          <cell r="E95">
            <v>27.49</v>
          </cell>
        </row>
        <row r="96">
          <cell r="B96" t="str">
            <v>M093</v>
          </cell>
          <cell r="C96" t="str">
            <v>lana mineral con aluminio</v>
          </cell>
          <cell r="D96" t="str">
            <v>un</v>
          </cell>
          <cell r="E96">
            <v>0</v>
          </cell>
        </row>
        <row r="97">
          <cell r="B97" t="str">
            <v>M094</v>
          </cell>
          <cell r="E97">
            <v>0</v>
          </cell>
        </row>
        <row r="98">
          <cell r="B98" t="str">
            <v>M095</v>
          </cell>
          <cell r="C98" t="str">
            <v>Arena Fina</v>
          </cell>
          <cell r="D98" t="str">
            <v>m³</v>
          </cell>
          <cell r="E98">
            <v>150</v>
          </cell>
        </row>
        <row r="99">
          <cell r="B99" t="str">
            <v>M096</v>
          </cell>
          <cell r="C99" t="str">
            <v>Arena Mediana</v>
          </cell>
          <cell r="D99" t="str">
            <v>m³</v>
          </cell>
          <cell r="E99">
            <v>100</v>
          </cell>
        </row>
        <row r="100">
          <cell r="B100" t="str">
            <v>M097</v>
          </cell>
          <cell r="C100" t="str">
            <v>Ripio Clasificado</v>
          </cell>
          <cell r="D100" t="str">
            <v>m³</v>
          </cell>
          <cell r="E100">
            <v>90</v>
          </cell>
        </row>
        <row r="101">
          <cell r="B101" t="str">
            <v>M098</v>
          </cell>
          <cell r="C101" t="str">
            <v xml:space="preserve">Piedra Bola </v>
          </cell>
          <cell r="D101" t="str">
            <v>m³</v>
          </cell>
          <cell r="E101">
            <v>496</v>
          </cell>
        </row>
        <row r="102">
          <cell r="B102" t="str">
            <v>M099</v>
          </cell>
          <cell r="C102" t="str">
            <v>Material de Relleno</v>
          </cell>
          <cell r="D102" t="str">
            <v>m³</v>
          </cell>
          <cell r="E102">
            <v>50</v>
          </cell>
        </row>
        <row r="103">
          <cell r="B103" t="str">
            <v>M100</v>
          </cell>
          <cell r="C103" t="str">
            <v>Piedra Laja Colorada</v>
          </cell>
          <cell r="D103" t="str">
            <v>m²</v>
          </cell>
          <cell r="E103">
            <v>170</v>
          </cell>
        </row>
        <row r="104">
          <cell r="B104" t="str">
            <v>M101</v>
          </cell>
          <cell r="C104" t="str">
            <v>Piedra partida de rechazo</v>
          </cell>
          <cell r="D104" t="str">
            <v>m³</v>
          </cell>
          <cell r="E104">
            <v>80</v>
          </cell>
        </row>
        <row r="105">
          <cell r="B105" t="str">
            <v>M102</v>
          </cell>
          <cell r="C105" t="str">
            <v>Fenolico Encofrado</v>
          </cell>
          <cell r="D105" t="str">
            <v>gl</v>
          </cell>
          <cell r="E105">
            <v>180</v>
          </cell>
        </row>
        <row r="106">
          <cell r="B106" t="str">
            <v>M103</v>
          </cell>
          <cell r="C106" t="str">
            <v>Encofrado Antepecho</v>
          </cell>
          <cell r="D106" t="str">
            <v>gl</v>
          </cell>
          <cell r="E106">
            <v>52</v>
          </cell>
        </row>
        <row r="107">
          <cell r="B107" t="str">
            <v>M104</v>
          </cell>
          <cell r="C107" t="str">
            <v>Arena I</v>
          </cell>
          <cell r="D107" t="str">
            <v>m³</v>
          </cell>
          <cell r="E107">
            <v>99.6</v>
          </cell>
        </row>
        <row r="108">
          <cell r="B108" t="str">
            <v>M105</v>
          </cell>
          <cell r="C108" t="str">
            <v>Ripio Clasificado I</v>
          </cell>
          <cell r="D108" t="str">
            <v>m³</v>
          </cell>
          <cell r="E108">
            <v>90</v>
          </cell>
        </row>
        <row r="109">
          <cell r="B109" t="str">
            <v>M106</v>
          </cell>
          <cell r="C109" t="str">
            <v>Ripio Integral</v>
          </cell>
          <cell r="D109" t="str">
            <v>m³</v>
          </cell>
          <cell r="E109">
            <v>140.49586776859505</v>
          </cell>
        </row>
        <row r="110">
          <cell r="B110" t="str">
            <v>M107</v>
          </cell>
          <cell r="C110">
            <v>0</v>
          </cell>
          <cell r="D110" t="str">
            <v>m³</v>
          </cell>
          <cell r="E110">
            <v>0</v>
          </cell>
        </row>
        <row r="111">
          <cell r="B111" t="str">
            <v>M108</v>
          </cell>
          <cell r="C111" t="str">
            <v>Satinol T</v>
          </cell>
          <cell r="D111" t="str">
            <v>lts</v>
          </cell>
          <cell r="E111">
            <v>48.327685950413226</v>
          </cell>
        </row>
        <row r="112">
          <cell r="B112" t="str">
            <v>M109</v>
          </cell>
          <cell r="C112" t="str">
            <v>Lustre Tekno Cetol</v>
          </cell>
          <cell r="D112" t="str">
            <v>lts</v>
          </cell>
          <cell r="E112">
            <v>71.280991735537185</v>
          </cell>
        </row>
        <row r="113">
          <cell r="B113" t="str">
            <v>M110</v>
          </cell>
          <cell r="C113" t="str">
            <v>Tekno Protector Exterior</v>
          </cell>
          <cell r="D113" t="str">
            <v>lts</v>
          </cell>
          <cell r="E113">
            <v>4.4824000000000002</v>
          </cell>
        </row>
        <row r="114">
          <cell r="B114" t="str">
            <v>M111</v>
          </cell>
          <cell r="C114" t="str">
            <v>Enduido Acrílico</v>
          </cell>
          <cell r="D114" t="str">
            <v>kg</v>
          </cell>
          <cell r="E114">
            <v>8.5444999999999993</v>
          </cell>
        </row>
        <row r="115">
          <cell r="B115" t="str">
            <v>M112</v>
          </cell>
          <cell r="C115" t="str">
            <v>Tekno Látex</v>
          </cell>
          <cell r="D115" t="str">
            <v>lts</v>
          </cell>
          <cell r="E115">
            <v>27.06611570247934</v>
          </cell>
        </row>
        <row r="116">
          <cell r="B116" t="str">
            <v>M113</v>
          </cell>
          <cell r="C116" t="str">
            <v>Sintetico Tekno</v>
          </cell>
          <cell r="D116" t="str">
            <v>lts</v>
          </cell>
          <cell r="E116">
            <v>56.280991735537192</v>
          </cell>
        </row>
        <row r="117">
          <cell r="B117" t="str">
            <v>M114</v>
          </cell>
          <cell r="C117" t="str">
            <v>Fijador</v>
          </cell>
          <cell r="D117" t="str">
            <v>lts</v>
          </cell>
          <cell r="E117">
            <v>12.427999999999999</v>
          </cell>
        </row>
        <row r="118">
          <cell r="B118" t="str">
            <v>M115</v>
          </cell>
          <cell r="C118" t="str">
            <v>Anti oxido Fos. De Sing</v>
          </cell>
          <cell r="D118" t="str">
            <v>lts</v>
          </cell>
          <cell r="E118">
            <v>45.454545454545453</v>
          </cell>
        </row>
        <row r="119">
          <cell r="B119" t="str">
            <v>M116</v>
          </cell>
          <cell r="C119" t="str">
            <v>Sintético Tekno</v>
          </cell>
          <cell r="D119" t="str">
            <v>lts</v>
          </cell>
          <cell r="E119">
            <v>60.055</v>
          </cell>
        </row>
        <row r="120">
          <cell r="B120" t="str">
            <v>M117</v>
          </cell>
          <cell r="C120" t="str">
            <v>Pincel</v>
          </cell>
          <cell r="D120" t="str">
            <v>un</v>
          </cell>
          <cell r="E120">
            <v>24.793388429752067</v>
          </cell>
        </row>
        <row r="121">
          <cell r="B121" t="str">
            <v>M118</v>
          </cell>
          <cell r="C121" t="str">
            <v>Rodillo Lana</v>
          </cell>
          <cell r="D121" t="str">
            <v>un</v>
          </cell>
          <cell r="E121">
            <v>43.553719008264466</v>
          </cell>
        </row>
        <row r="122">
          <cell r="B122" t="str">
            <v>M119</v>
          </cell>
          <cell r="C122" t="str">
            <v>Granito Gris Mara Pulido antidesl. Fimantado</v>
          </cell>
          <cell r="D122" t="str">
            <v>m²</v>
          </cell>
          <cell r="E122">
            <v>1157.0247933884298</v>
          </cell>
        </row>
        <row r="123">
          <cell r="B123" t="str">
            <v>M120</v>
          </cell>
          <cell r="C123" t="str">
            <v>Ceramico San Lorenzo 30x60 Blanco Mate</v>
          </cell>
          <cell r="D123" t="str">
            <v>m²</v>
          </cell>
          <cell r="E123">
            <v>132.5619834710744</v>
          </cell>
        </row>
        <row r="124">
          <cell r="B124" t="str">
            <v>M121</v>
          </cell>
          <cell r="C124" t="str">
            <v>Ceramico Alberdi 30x30 Rojo</v>
          </cell>
          <cell r="D124" t="str">
            <v>m²</v>
          </cell>
          <cell r="E124">
            <v>88.429752066115711</v>
          </cell>
        </row>
        <row r="125">
          <cell r="B125" t="str">
            <v>M122</v>
          </cell>
          <cell r="C125" t="str">
            <v>Ceramico San Lorenzo 30x30 Gris Pietra</v>
          </cell>
          <cell r="D125" t="str">
            <v>m²</v>
          </cell>
          <cell r="E125">
            <v>50</v>
          </cell>
        </row>
        <row r="126">
          <cell r="B126" t="str">
            <v>M123</v>
          </cell>
          <cell r="C126" t="str">
            <v>Baldoza Piedra Lavada 60x40</v>
          </cell>
          <cell r="D126" t="str">
            <v>m²</v>
          </cell>
          <cell r="E126">
            <v>84.297520661157023</v>
          </cell>
        </row>
        <row r="127">
          <cell r="B127" t="str">
            <v>M124</v>
          </cell>
          <cell r="C127" t="str">
            <v>Hidrófugo</v>
          </cell>
          <cell r="D127" t="str">
            <v>kg</v>
          </cell>
          <cell r="E127">
            <v>5.83</v>
          </cell>
        </row>
        <row r="128">
          <cell r="B128" t="str">
            <v>M125</v>
          </cell>
          <cell r="C128" t="str">
            <v>Cal</v>
          </cell>
          <cell r="D128" t="str">
            <v>kg</v>
          </cell>
          <cell r="E128">
            <v>0.52499999999999991</v>
          </cell>
        </row>
        <row r="129">
          <cell r="B129" t="str">
            <v>M126</v>
          </cell>
          <cell r="C129" t="str">
            <v>Cemento Normal</v>
          </cell>
          <cell r="D129" t="str">
            <v>kg</v>
          </cell>
          <cell r="E129">
            <v>1.35</v>
          </cell>
        </row>
        <row r="130">
          <cell r="B130" t="str">
            <v>M127</v>
          </cell>
          <cell r="C130" t="str">
            <v>Cemento Pusolanico</v>
          </cell>
          <cell r="D130" t="str">
            <v>kg</v>
          </cell>
          <cell r="E130">
            <v>2</v>
          </cell>
        </row>
        <row r="131">
          <cell r="B131" t="str">
            <v>M128</v>
          </cell>
          <cell r="C131" t="str">
            <v>Cemento de Albañileria</v>
          </cell>
          <cell r="D131" t="str">
            <v>kg</v>
          </cell>
          <cell r="E131">
            <v>0.96</v>
          </cell>
        </row>
        <row r="132">
          <cell r="B132" t="str">
            <v>M129</v>
          </cell>
          <cell r="C132" t="str">
            <v>Pastina para ceramico</v>
          </cell>
          <cell r="D132" t="str">
            <v>kg</v>
          </cell>
          <cell r="E132">
            <v>13.4</v>
          </cell>
        </row>
        <row r="133">
          <cell r="B133" t="str">
            <v>M130</v>
          </cell>
          <cell r="C133" t="str">
            <v>Pegamento para ceramico</v>
          </cell>
          <cell r="D133" t="str">
            <v>kg</v>
          </cell>
          <cell r="E133">
            <v>3.8</v>
          </cell>
        </row>
        <row r="134">
          <cell r="B134" t="str">
            <v>M131</v>
          </cell>
          <cell r="C134" t="str">
            <v>Ceramico</v>
          </cell>
          <cell r="D134" t="str">
            <v>m²</v>
          </cell>
          <cell r="E134">
            <v>77.790000000000006</v>
          </cell>
        </row>
        <row r="135">
          <cell r="B135" t="str">
            <v>M132</v>
          </cell>
          <cell r="C135" t="str">
            <v>Mosaico Granitico 30x30</v>
          </cell>
          <cell r="D135" t="str">
            <v>m²</v>
          </cell>
          <cell r="E135">
            <v>64.628099173553721</v>
          </cell>
        </row>
        <row r="136">
          <cell r="B136" t="str">
            <v>M133</v>
          </cell>
          <cell r="C136" t="str">
            <v>Umbral Granitico</v>
          </cell>
          <cell r="D136" t="str">
            <v>m²</v>
          </cell>
          <cell r="E136">
            <v>70</v>
          </cell>
        </row>
        <row r="137">
          <cell r="B137" t="str">
            <v>M134</v>
          </cell>
          <cell r="C137" t="str">
            <v>Zocalo Granitico</v>
          </cell>
          <cell r="D137" t="str">
            <v>ml</v>
          </cell>
          <cell r="E137">
            <v>25</v>
          </cell>
        </row>
        <row r="138">
          <cell r="B138" t="str">
            <v>M135</v>
          </cell>
          <cell r="C138" t="str">
            <v>Perlita</v>
          </cell>
          <cell r="D138" t="str">
            <v>m³</v>
          </cell>
          <cell r="E138">
            <v>115.8</v>
          </cell>
        </row>
        <row r="139">
          <cell r="B139" t="str">
            <v>M136</v>
          </cell>
          <cell r="C139" t="str">
            <v>Membrana</v>
          </cell>
          <cell r="D139" t="str">
            <v>m²</v>
          </cell>
          <cell r="E139">
            <v>38.799999999999997</v>
          </cell>
        </row>
        <row r="140">
          <cell r="B140" t="str">
            <v>M137</v>
          </cell>
          <cell r="C140" t="str">
            <v>Emulsion</v>
          </cell>
          <cell r="D140" t="str">
            <v>kg</v>
          </cell>
          <cell r="E140">
            <v>9.16</v>
          </cell>
        </row>
        <row r="141">
          <cell r="B141" t="str">
            <v>M138</v>
          </cell>
          <cell r="C141" t="str">
            <v>Polietileno 200 mc</v>
          </cell>
          <cell r="D141" t="str">
            <v>m²</v>
          </cell>
          <cell r="E141">
            <v>3.32</v>
          </cell>
        </row>
        <row r="142">
          <cell r="B142" t="str">
            <v>M139</v>
          </cell>
          <cell r="C142" t="str">
            <v>Pomeca</v>
          </cell>
          <cell r="D142" t="str">
            <v>m³</v>
          </cell>
          <cell r="E142">
            <v>80</v>
          </cell>
        </row>
        <row r="143">
          <cell r="B143" t="str">
            <v>M140</v>
          </cell>
          <cell r="C143" t="str">
            <v>Junta</v>
          </cell>
          <cell r="D143" t="str">
            <v>ml</v>
          </cell>
          <cell r="E143">
            <v>21</v>
          </cell>
        </row>
        <row r="144">
          <cell r="B144" t="str">
            <v>M141</v>
          </cell>
          <cell r="C144" t="str">
            <v>Pastina para porcellanato</v>
          </cell>
          <cell r="D144" t="str">
            <v>kg</v>
          </cell>
          <cell r="E144">
            <v>24.5</v>
          </cell>
        </row>
        <row r="145">
          <cell r="B145" t="str">
            <v>M142</v>
          </cell>
          <cell r="C145" t="str">
            <v>Zocalo Ceramico</v>
          </cell>
          <cell r="D145" t="str">
            <v>ml</v>
          </cell>
          <cell r="E145">
            <v>19</v>
          </cell>
        </row>
        <row r="146">
          <cell r="B146" t="str">
            <v>M143</v>
          </cell>
          <cell r="C146" t="str">
            <v>Divisores Sanitarios c/puertas y estructura</v>
          </cell>
          <cell r="D146" t="str">
            <v>gl</v>
          </cell>
          <cell r="E146">
            <v>0</v>
          </cell>
        </row>
        <row r="147">
          <cell r="B147" t="str">
            <v>M144</v>
          </cell>
          <cell r="C147" t="str">
            <v>Separadores Granito</v>
          </cell>
          <cell r="D147" t="str">
            <v>m²</v>
          </cell>
          <cell r="E147">
            <v>1347.1074380165289</v>
          </cell>
        </row>
        <row r="148">
          <cell r="B148" t="str">
            <v>M145</v>
          </cell>
          <cell r="C148" t="str">
            <v>Zocalo Blanco</v>
          </cell>
          <cell r="D148" t="str">
            <v>ml</v>
          </cell>
          <cell r="E148">
            <v>10.298792116973933</v>
          </cell>
        </row>
        <row r="149">
          <cell r="B149" t="str">
            <v>M146</v>
          </cell>
          <cell r="C149" t="str">
            <v>Poliuretano Proyectado s/chapa</v>
          </cell>
          <cell r="D149" t="str">
            <v>m²</v>
          </cell>
          <cell r="E149">
            <v>109.25</v>
          </cell>
        </row>
        <row r="150">
          <cell r="B150" t="str">
            <v>M147</v>
          </cell>
          <cell r="C150" t="str">
            <v>Adoquin Intertrabado 33x33 p/cesped</v>
          </cell>
          <cell r="D150" t="str">
            <v>m²</v>
          </cell>
          <cell r="E150">
            <v>120.27272727272728</v>
          </cell>
        </row>
        <row r="151">
          <cell r="B151" t="str">
            <v>M148</v>
          </cell>
          <cell r="C151" t="str">
            <v>Zocalo perfil aluminio anodiz. 5cm</v>
          </cell>
          <cell r="D151" t="str">
            <v>ml</v>
          </cell>
          <cell r="E151">
            <v>100</v>
          </cell>
        </row>
        <row r="152">
          <cell r="B152" t="str">
            <v>M149</v>
          </cell>
          <cell r="C152" t="str">
            <v>Zocalo Ceramica alberdi Roja</v>
          </cell>
          <cell r="D152" t="str">
            <v>ml</v>
          </cell>
          <cell r="E152">
            <v>24.793388429752067</v>
          </cell>
        </row>
        <row r="153">
          <cell r="B153" t="str">
            <v>M150</v>
          </cell>
          <cell r="C153" t="str">
            <v>Zocalo de Banquina A.Inox.</v>
          </cell>
          <cell r="D153" t="str">
            <v>ml</v>
          </cell>
          <cell r="E153">
            <v>74.380165289256198</v>
          </cell>
        </row>
        <row r="154">
          <cell r="B154" t="str">
            <v>M151</v>
          </cell>
          <cell r="C154" t="str">
            <v>Zocalo Acero Inoxidable.</v>
          </cell>
          <cell r="D154" t="str">
            <v>ml</v>
          </cell>
          <cell r="E154">
            <v>74.380165289256198</v>
          </cell>
        </row>
        <row r="155">
          <cell r="B155" t="str">
            <v>M152</v>
          </cell>
          <cell r="C155" t="str">
            <v>Perfil Acero Inox. Esmerilado Atrin Cod:1602</v>
          </cell>
          <cell r="D155" t="str">
            <v>ml</v>
          </cell>
          <cell r="E155">
            <v>92.84958677685951</v>
          </cell>
        </row>
        <row r="156">
          <cell r="B156" t="str">
            <v>M153</v>
          </cell>
          <cell r="C156" t="str">
            <v>Porcellanato 50 x 50</v>
          </cell>
          <cell r="D156" t="str">
            <v>m²</v>
          </cell>
          <cell r="E156">
            <v>141.33500000000001</v>
          </cell>
        </row>
        <row r="157">
          <cell r="B157" t="str">
            <v>M154</v>
          </cell>
          <cell r="C157" t="str">
            <v>Pegamento p/porcellanato</v>
          </cell>
          <cell r="D157" t="str">
            <v>kg</v>
          </cell>
          <cell r="E157">
            <v>5.75</v>
          </cell>
        </row>
        <row r="158">
          <cell r="B158" t="str">
            <v>M155</v>
          </cell>
          <cell r="C158" t="str">
            <v>Piso Técnico</v>
          </cell>
          <cell r="E158">
            <v>860.5</v>
          </cell>
        </row>
        <row r="159">
          <cell r="B159" t="str">
            <v>M156</v>
          </cell>
          <cell r="C159" t="str">
            <v>Zocalo Porcellanato</v>
          </cell>
          <cell r="D159" t="str">
            <v>m²</v>
          </cell>
          <cell r="E159">
            <v>141.33500000000001</v>
          </cell>
        </row>
        <row r="160">
          <cell r="B160" t="str">
            <v>M157</v>
          </cell>
          <cell r="C160" t="str">
            <v>H° Elaborado H 17</v>
          </cell>
          <cell r="D160" t="str">
            <v>m³</v>
          </cell>
          <cell r="E160">
            <v>738</v>
          </cell>
        </row>
        <row r="161">
          <cell r="B161" t="str">
            <v>M158</v>
          </cell>
          <cell r="C161" t="str">
            <v>H° Elaborado H 21</v>
          </cell>
          <cell r="D161" t="str">
            <v>m³</v>
          </cell>
          <cell r="E161">
            <v>810</v>
          </cell>
        </row>
        <row r="162">
          <cell r="B162" t="str">
            <v>M159</v>
          </cell>
          <cell r="C162" t="str">
            <v>Servicio de bomba</v>
          </cell>
          <cell r="D162" t="str">
            <v>un</v>
          </cell>
          <cell r="E162">
            <v>1800</v>
          </cell>
        </row>
        <row r="163">
          <cell r="B163" t="str">
            <v>M160</v>
          </cell>
          <cell r="C163" t="str">
            <v>Inst.cañeria para bombeo</v>
          </cell>
          <cell r="D163" t="str">
            <v>un</v>
          </cell>
          <cell r="E163">
            <v>600</v>
          </cell>
        </row>
        <row r="164">
          <cell r="B164" t="str">
            <v>M161</v>
          </cell>
          <cell r="C164" t="str">
            <v>H° Elaborado H 8</v>
          </cell>
          <cell r="D164" t="str">
            <v>m³</v>
          </cell>
          <cell r="E164">
            <v>582</v>
          </cell>
        </row>
        <row r="165">
          <cell r="B165" t="str">
            <v>M162</v>
          </cell>
          <cell r="C165" t="str">
            <v>H° Elaborado H 13</v>
          </cell>
          <cell r="D165" t="str">
            <v>m³</v>
          </cell>
          <cell r="E165">
            <v>678</v>
          </cell>
        </row>
        <row r="166">
          <cell r="B166" t="str">
            <v>M163</v>
          </cell>
          <cell r="D166" t="str">
            <v>un</v>
          </cell>
          <cell r="E166">
            <v>0</v>
          </cell>
        </row>
        <row r="167">
          <cell r="B167" t="str">
            <v>M164</v>
          </cell>
          <cell r="C167" t="str">
            <v>Difusor 30x30</v>
          </cell>
          <cell r="D167" t="str">
            <v>un</v>
          </cell>
          <cell r="E167">
            <v>334</v>
          </cell>
        </row>
        <row r="168">
          <cell r="B168" t="str">
            <v>M165</v>
          </cell>
          <cell r="C168" t="str">
            <v>Regulador</v>
          </cell>
          <cell r="D168" t="str">
            <v>un</v>
          </cell>
          <cell r="E168">
            <v>601.20000000000005</v>
          </cell>
        </row>
        <row r="169">
          <cell r="B169" t="str">
            <v>M166</v>
          </cell>
          <cell r="D169" t="str">
            <v>un</v>
          </cell>
          <cell r="E169">
            <v>0</v>
          </cell>
        </row>
        <row r="170">
          <cell r="B170" t="str">
            <v>M167</v>
          </cell>
          <cell r="C170" t="str">
            <v>lana de Roca mineral</v>
          </cell>
          <cell r="D170" t="str">
            <v>un</v>
          </cell>
          <cell r="E170">
            <v>182</v>
          </cell>
        </row>
        <row r="171">
          <cell r="B171" t="str">
            <v>M168</v>
          </cell>
          <cell r="C171" t="str">
            <v>Yeso</v>
          </cell>
          <cell r="D171" t="str">
            <v>m²</v>
          </cell>
          <cell r="E171">
            <v>1.8</v>
          </cell>
        </row>
        <row r="172">
          <cell r="B172" t="str">
            <v>M169</v>
          </cell>
          <cell r="C172" t="str">
            <v>Placa Cementicia 6mm</v>
          </cell>
          <cell r="D172" t="str">
            <v>m²</v>
          </cell>
          <cell r="E172">
            <v>81.353305785123965</v>
          </cell>
        </row>
        <row r="173">
          <cell r="B173" t="str">
            <v>M170</v>
          </cell>
          <cell r="C173" t="str">
            <v>Placa Cementicia 8mm</v>
          </cell>
          <cell r="D173" t="str">
            <v>m²</v>
          </cell>
          <cell r="E173">
            <v>108.47107438016529</v>
          </cell>
        </row>
        <row r="174">
          <cell r="B174" t="str">
            <v>M171</v>
          </cell>
          <cell r="C174" t="str">
            <v>Placa Cementicia 10mm</v>
          </cell>
          <cell r="D174" t="str">
            <v>m²</v>
          </cell>
          <cell r="E174">
            <v>142.04545454545456</v>
          </cell>
        </row>
        <row r="175">
          <cell r="B175" t="str">
            <v>M172</v>
          </cell>
          <cell r="C175" t="str">
            <v>Cantonera</v>
          </cell>
          <cell r="D175" t="str">
            <v>ml</v>
          </cell>
          <cell r="E175">
            <v>8.5823267641449448</v>
          </cell>
        </row>
        <row r="176">
          <cell r="B176" t="str">
            <v>M173</v>
          </cell>
          <cell r="C176" t="str">
            <v>Placa Roja</v>
          </cell>
          <cell r="D176" t="str">
            <v>m²</v>
          </cell>
          <cell r="E176">
            <v>55.957300275482105</v>
          </cell>
        </row>
        <row r="177">
          <cell r="B177" t="str">
            <v>M174</v>
          </cell>
          <cell r="C177" t="str">
            <v>Placa Verde</v>
          </cell>
          <cell r="D177" t="str">
            <v>m²</v>
          </cell>
          <cell r="E177">
            <v>60.261707988980717</v>
          </cell>
        </row>
        <row r="178">
          <cell r="B178" t="str">
            <v>M175</v>
          </cell>
          <cell r="C178" t="str">
            <v>Placa 12,5 mm</v>
          </cell>
          <cell r="D178" t="str">
            <v>m²</v>
          </cell>
          <cell r="E178">
            <v>35.51136363636364</v>
          </cell>
        </row>
        <row r="179">
          <cell r="B179" t="str">
            <v>M176</v>
          </cell>
          <cell r="C179" t="str">
            <v>Placa 09,5 mm</v>
          </cell>
          <cell r="D179" t="str">
            <v>m²</v>
          </cell>
          <cell r="E179">
            <v>35.51136363636364</v>
          </cell>
        </row>
        <row r="180">
          <cell r="B180" t="str">
            <v>M177</v>
          </cell>
          <cell r="C180" t="str">
            <v>Montante de 70 mm</v>
          </cell>
          <cell r="D180" t="str">
            <v>ml</v>
          </cell>
          <cell r="E180">
            <v>18.690400508582329</v>
          </cell>
        </row>
        <row r="181">
          <cell r="B181" t="str">
            <v>M178</v>
          </cell>
          <cell r="C181" t="str">
            <v>Montante de 35 mm</v>
          </cell>
          <cell r="D181" t="str">
            <v>ml</v>
          </cell>
          <cell r="E181">
            <v>14.16083916083916</v>
          </cell>
        </row>
        <row r="182">
          <cell r="B182" t="str">
            <v>M179</v>
          </cell>
          <cell r="C182" t="str">
            <v>Solera de 70 mm</v>
          </cell>
          <cell r="D182" t="str">
            <v>ml</v>
          </cell>
          <cell r="E182">
            <v>16.773680864589956</v>
          </cell>
        </row>
        <row r="183">
          <cell r="B183" t="str">
            <v>M180</v>
          </cell>
          <cell r="C183" t="str">
            <v>Solera de 35 mm</v>
          </cell>
          <cell r="D183" t="str">
            <v>ml</v>
          </cell>
          <cell r="E183">
            <v>12.587412587412587</v>
          </cell>
        </row>
        <row r="184">
          <cell r="B184" t="str">
            <v>M181</v>
          </cell>
          <cell r="C184" t="str">
            <v>T1 PM</v>
          </cell>
          <cell r="D184" t="str">
            <v>un</v>
          </cell>
          <cell r="E184">
            <v>0.27272727272727271</v>
          </cell>
        </row>
        <row r="185">
          <cell r="B185" t="str">
            <v>M182</v>
          </cell>
          <cell r="C185" t="str">
            <v>T2 PA</v>
          </cell>
          <cell r="D185" t="str">
            <v>un</v>
          </cell>
          <cell r="E185">
            <v>0.24793388429752067</v>
          </cell>
        </row>
        <row r="186">
          <cell r="B186" t="str">
            <v>M183</v>
          </cell>
          <cell r="C186" t="str">
            <v>T3 PA</v>
          </cell>
          <cell r="D186" t="str">
            <v>un</v>
          </cell>
          <cell r="E186">
            <v>0.34710743801652899</v>
          </cell>
        </row>
        <row r="187">
          <cell r="B187" t="str">
            <v>M184</v>
          </cell>
          <cell r="C187" t="str">
            <v>Fijación Completa 6 mm</v>
          </cell>
          <cell r="D187" t="str">
            <v>un</v>
          </cell>
          <cell r="E187">
            <v>0.71900826446280985</v>
          </cell>
        </row>
        <row r="188">
          <cell r="B188" t="str">
            <v>M185</v>
          </cell>
          <cell r="C188" t="str">
            <v>Fijación Completa 8 mm</v>
          </cell>
          <cell r="D188" t="str">
            <v>un</v>
          </cell>
          <cell r="E188">
            <v>0.80578512396694213</v>
          </cell>
        </row>
        <row r="189">
          <cell r="B189" t="str">
            <v>M186</v>
          </cell>
          <cell r="C189" t="str">
            <v>Fijación Completa 10 mm</v>
          </cell>
          <cell r="D189" t="str">
            <v>un</v>
          </cell>
          <cell r="E189">
            <v>0</v>
          </cell>
        </row>
        <row r="190">
          <cell r="B190" t="str">
            <v>M187</v>
          </cell>
          <cell r="C190" t="str">
            <v>Masilla</v>
          </cell>
          <cell r="D190" t="str">
            <v>kg</v>
          </cell>
          <cell r="E190">
            <v>3.78</v>
          </cell>
        </row>
        <row r="191">
          <cell r="B191" t="str">
            <v>M188</v>
          </cell>
          <cell r="C191" t="str">
            <v>Cinta</v>
          </cell>
          <cell r="D191" t="str">
            <v>ml</v>
          </cell>
          <cell r="E191">
            <v>0.23</v>
          </cell>
        </row>
        <row r="192">
          <cell r="B192" t="str">
            <v>M189</v>
          </cell>
          <cell r="C192" t="str">
            <v>Varios</v>
          </cell>
          <cell r="D192" t="str">
            <v>gl</v>
          </cell>
          <cell r="E192">
            <v>8</v>
          </cell>
        </row>
        <row r="193">
          <cell r="B193" t="str">
            <v>M190</v>
          </cell>
          <cell r="C193" t="str">
            <v>Materiales para cielo raso de placa</v>
          </cell>
          <cell r="D193" t="str">
            <v>m²</v>
          </cell>
          <cell r="E193">
            <v>75</v>
          </cell>
        </row>
        <row r="194">
          <cell r="B194" t="str">
            <v>M191</v>
          </cell>
          <cell r="C194">
            <v>0</v>
          </cell>
          <cell r="E194">
            <v>0</v>
          </cell>
        </row>
        <row r="195">
          <cell r="B195" t="str">
            <v>M192</v>
          </cell>
          <cell r="C195" t="str">
            <v>Materiales Eléctricos</v>
          </cell>
          <cell r="D195" t="str">
            <v>gl</v>
          </cell>
          <cell r="E195">
            <v>30000</v>
          </cell>
        </row>
        <row r="196">
          <cell r="B196" t="str">
            <v>M193</v>
          </cell>
          <cell r="C196" t="str">
            <v>Artefactos</v>
          </cell>
          <cell r="D196" t="str">
            <v>gl</v>
          </cell>
          <cell r="E196">
            <v>19000</v>
          </cell>
        </row>
        <row r="197">
          <cell r="B197" t="str">
            <v>M194</v>
          </cell>
          <cell r="E197">
            <v>0</v>
          </cell>
        </row>
        <row r="198">
          <cell r="B198" t="str">
            <v>M195</v>
          </cell>
          <cell r="C198" t="str">
            <v>Plastificante</v>
          </cell>
          <cell r="D198" t="str">
            <v>lts</v>
          </cell>
          <cell r="E198">
            <v>58.677685950413228</v>
          </cell>
        </row>
        <row r="199">
          <cell r="B199" t="str">
            <v>M196</v>
          </cell>
          <cell r="C199" t="str">
            <v>Tiner</v>
          </cell>
          <cell r="D199" t="str">
            <v>lts</v>
          </cell>
          <cell r="E199">
            <v>28.264462809917358</v>
          </cell>
        </row>
        <row r="200">
          <cell r="B200" t="str">
            <v>M197</v>
          </cell>
          <cell r="C200">
            <v>0</v>
          </cell>
          <cell r="E200">
            <v>0</v>
          </cell>
        </row>
        <row r="201">
          <cell r="B201" t="str">
            <v>M198</v>
          </cell>
          <cell r="C201">
            <v>0</v>
          </cell>
          <cell r="E201">
            <v>0</v>
          </cell>
        </row>
        <row r="202">
          <cell r="B202" t="str">
            <v>M199</v>
          </cell>
          <cell r="C202" t="str">
            <v>caja de electrodos 2,5</v>
          </cell>
          <cell r="E202">
            <v>1490</v>
          </cell>
        </row>
        <row r="203">
          <cell r="B203" t="str">
            <v>M200</v>
          </cell>
          <cell r="C203" t="str">
            <v>chapa 70x100x3,2</v>
          </cell>
          <cell r="D203" t="str">
            <v>un</v>
          </cell>
          <cell r="E203">
            <v>2740</v>
          </cell>
        </row>
        <row r="204">
          <cell r="B204" t="str">
            <v>M201</v>
          </cell>
          <cell r="C204" t="str">
            <v>brocas de acero Fi  12</v>
          </cell>
          <cell r="D204" t="str">
            <v>un</v>
          </cell>
          <cell r="E204">
            <v>20</v>
          </cell>
        </row>
        <row r="205">
          <cell r="B205" t="str">
            <v>M202</v>
          </cell>
          <cell r="C205" t="str">
            <v>caño 70x40x3,2</v>
          </cell>
          <cell r="D205" t="str">
            <v>un</v>
          </cell>
          <cell r="E205">
            <v>437</v>
          </cell>
        </row>
        <row r="206">
          <cell r="B206" t="str">
            <v>M203</v>
          </cell>
          <cell r="C206" t="str">
            <v>Puerta 80 c/marco chapa N°18</v>
          </cell>
          <cell r="D206" t="str">
            <v>Un</v>
          </cell>
          <cell r="E206">
            <v>855.37190082644634</v>
          </cell>
        </row>
        <row r="207">
          <cell r="B207" t="str">
            <v>M204</v>
          </cell>
          <cell r="C207" t="str">
            <v>Caja metalica 20x20x10</v>
          </cell>
          <cell r="D207" t="str">
            <v>Un</v>
          </cell>
          <cell r="E207">
            <v>64.099999999999994</v>
          </cell>
        </row>
        <row r="208">
          <cell r="B208" t="str">
            <v>M205</v>
          </cell>
          <cell r="C208" t="str">
            <v>Reflector Mercurio Halogenado 1000W</v>
          </cell>
          <cell r="D208" t="str">
            <v>Un</v>
          </cell>
          <cell r="E208">
            <v>198.53</v>
          </cell>
        </row>
        <row r="209">
          <cell r="B209" t="str">
            <v>M206</v>
          </cell>
          <cell r="C209" t="str">
            <v>Balasto 1000w</v>
          </cell>
          <cell r="D209" t="str">
            <v>Un</v>
          </cell>
          <cell r="E209">
            <v>504.09</v>
          </cell>
        </row>
        <row r="210">
          <cell r="B210" t="str">
            <v>M207</v>
          </cell>
          <cell r="C210" t="str">
            <v>Lámpara mercurio halogenado 1000W</v>
          </cell>
          <cell r="D210" t="str">
            <v>Un</v>
          </cell>
          <cell r="E210">
            <v>816.71</v>
          </cell>
        </row>
        <row r="211">
          <cell r="B211" t="str">
            <v>M208</v>
          </cell>
          <cell r="C211" t="str">
            <v>Pantalla industrial 50cm de diámetro E40</v>
          </cell>
          <cell r="D211" t="str">
            <v>Un</v>
          </cell>
          <cell r="E211">
            <v>425.39</v>
          </cell>
        </row>
        <row r="212">
          <cell r="B212" t="str">
            <v>M209</v>
          </cell>
          <cell r="C212" t="str">
            <v>Artefacto para tubos fluorescentes 2 x 36 w</v>
          </cell>
          <cell r="D212" t="str">
            <v>Un</v>
          </cell>
          <cell r="E212">
            <v>222.1</v>
          </cell>
        </row>
        <row r="213">
          <cell r="B213" t="str">
            <v>M210</v>
          </cell>
          <cell r="C213" t="str">
            <v>Tubo fluorescente 36 w</v>
          </cell>
          <cell r="D213" t="str">
            <v>Un</v>
          </cell>
          <cell r="E213">
            <v>5.09</v>
          </cell>
        </row>
        <row r="214">
          <cell r="B214" t="str">
            <v>M211</v>
          </cell>
          <cell r="C214" t="str">
            <v>Aplique de pared 1 x 26w (tortuguita)</v>
          </cell>
          <cell r="D214" t="str">
            <v>Un</v>
          </cell>
          <cell r="E214">
            <v>47.46</v>
          </cell>
        </row>
        <row r="215">
          <cell r="B215" t="str">
            <v>M212</v>
          </cell>
          <cell r="C215" t="str">
            <v>Lámpara bajo consumo 26w</v>
          </cell>
          <cell r="D215" t="str">
            <v>Un</v>
          </cell>
          <cell r="E215">
            <v>34.43</v>
          </cell>
        </row>
        <row r="216">
          <cell r="B216" t="str">
            <v>M213</v>
          </cell>
          <cell r="C216" t="str">
            <v>Lámpara bajo consumo 105w E40</v>
          </cell>
          <cell r="D216" t="str">
            <v>Un</v>
          </cell>
          <cell r="E216">
            <v>184.51</v>
          </cell>
        </row>
        <row r="217">
          <cell r="B217" t="str">
            <v>M214</v>
          </cell>
          <cell r="C217" t="str">
            <v>Luz de emergencia</v>
          </cell>
          <cell r="D217" t="str">
            <v>Un</v>
          </cell>
          <cell r="E217">
            <v>251.14</v>
          </cell>
        </row>
        <row r="218">
          <cell r="B218" t="str">
            <v>M215</v>
          </cell>
          <cell r="C218" t="str">
            <v>Cable protodur 4 x 16</v>
          </cell>
          <cell r="D218" t="str">
            <v>Mt</v>
          </cell>
          <cell r="E218">
            <v>59.090909090909093</v>
          </cell>
        </row>
        <row r="219">
          <cell r="B219" t="str">
            <v>M216</v>
          </cell>
          <cell r="C219" t="str">
            <v>Cable protodur 3 x 2,5</v>
          </cell>
          <cell r="D219" t="str">
            <v>Mt</v>
          </cell>
          <cell r="E219">
            <v>12.801652892561984</v>
          </cell>
        </row>
        <row r="220">
          <cell r="B220" t="str">
            <v>M217</v>
          </cell>
          <cell r="C220" t="str">
            <v>Cable protodur 5 x 1,5</v>
          </cell>
          <cell r="D220" t="str">
            <v>Mt</v>
          </cell>
          <cell r="E220">
            <v>9.7024793388429753</v>
          </cell>
        </row>
        <row r="221">
          <cell r="B221" t="str">
            <v>M218</v>
          </cell>
          <cell r="C221" t="str">
            <v>Jabalina 3/4 x 3 m</v>
          </cell>
          <cell r="D221" t="str">
            <v>Un</v>
          </cell>
          <cell r="E221">
            <v>69.628099173553721</v>
          </cell>
        </row>
        <row r="222">
          <cell r="B222" t="str">
            <v>M219</v>
          </cell>
          <cell r="C222" t="str">
            <v>Caño metálico pesado Ø 15,4 mm</v>
          </cell>
          <cell r="D222" t="str">
            <v>Mt</v>
          </cell>
          <cell r="E222">
            <v>6.3884297520661164</v>
          </cell>
        </row>
        <row r="223">
          <cell r="B223" t="str">
            <v>M220</v>
          </cell>
          <cell r="C223" t="str">
            <v>Caño metálico pesado Ø 18,6 mm</v>
          </cell>
          <cell r="D223" t="str">
            <v>Mt</v>
          </cell>
          <cell r="E223">
            <v>7.446280991735537</v>
          </cell>
        </row>
        <row r="224">
          <cell r="B224" t="str">
            <v>M221</v>
          </cell>
          <cell r="C224" t="str">
            <v>Curva metálica pesada Ø 18,6 mm</v>
          </cell>
          <cell r="D224" t="str">
            <v>Un</v>
          </cell>
          <cell r="E224">
            <v>4.6776859504132231</v>
          </cell>
        </row>
        <row r="225">
          <cell r="B225" t="str">
            <v>M222</v>
          </cell>
          <cell r="C225" t="str">
            <v>Conector metálico Ø 18,6 mm</v>
          </cell>
          <cell r="D225" t="str">
            <v>Un</v>
          </cell>
          <cell r="E225">
            <v>1.8429752066115703</v>
          </cell>
        </row>
        <row r="226">
          <cell r="B226" t="str">
            <v>M223</v>
          </cell>
          <cell r="C226" t="str">
            <v>Cupla metálica Ø 18,6 mm</v>
          </cell>
          <cell r="D226" t="str">
            <v>Un</v>
          </cell>
          <cell r="E226">
            <v>0.84297520661157033</v>
          </cell>
        </row>
        <row r="227">
          <cell r="B227" t="str">
            <v>M224</v>
          </cell>
          <cell r="C227" t="str">
            <v>Caja metálica semipesada octogonal chica</v>
          </cell>
          <cell r="D227" t="str">
            <v>Un</v>
          </cell>
          <cell r="E227">
            <v>2.9256198347107438</v>
          </cell>
        </row>
        <row r="228">
          <cell r="B228" t="str">
            <v>M225</v>
          </cell>
          <cell r="C228" t="str">
            <v>Caja metálica semipesada rectangular</v>
          </cell>
          <cell r="D228" t="str">
            <v>Un</v>
          </cell>
          <cell r="E228">
            <v>2.9256198347107438</v>
          </cell>
        </row>
        <row r="229">
          <cell r="B229" t="str">
            <v>M226</v>
          </cell>
          <cell r="C229" t="str">
            <v>Caja metálica semipesada cuadrada</v>
          </cell>
          <cell r="D229" t="str">
            <v>Un</v>
          </cell>
          <cell r="E229">
            <v>6.3057851239669427</v>
          </cell>
        </row>
        <row r="230">
          <cell r="B230" t="str">
            <v>M227</v>
          </cell>
          <cell r="C230" t="str">
            <v>Cable unipolar 1,5 mm² celeste</v>
          </cell>
          <cell r="D230" t="str">
            <v>Mt</v>
          </cell>
          <cell r="E230">
            <v>1.7247933884297524</v>
          </cell>
        </row>
        <row r="231">
          <cell r="B231" t="str">
            <v>M228</v>
          </cell>
          <cell r="C231" t="str">
            <v>Cable unipolar 2,5 mm² marrón</v>
          </cell>
          <cell r="D231" t="str">
            <v>Mt</v>
          </cell>
          <cell r="E231">
            <v>2.8123966942148759</v>
          </cell>
        </row>
        <row r="232">
          <cell r="B232" t="str">
            <v>M229</v>
          </cell>
          <cell r="C232" t="str">
            <v>Cable unipolar 4 mm² marrón</v>
          </cell>
          <cell r="D232" t="str">
            <v>Mt</v>
          </cell>
          <cell r="E232">
            <v>4.4743801652892561</v>
          </cell>
        </row>
        <row r="233">
          <cell r="B233" t="str">
            <v>M230</v>
          </cell>
          <cell r="C233" t="str">
            <v xml:space="preserve">Bastidor </v>
          </cell>
          <cell r="D233" t="str">
            <v>Un</v>
          </cell>
          <cell r="E233">
            <v>2.1834710743801651</v>
          </cell>
        </row>
        <row r="234">
          <cell r="B234" t="str">
            <v>M231</v>
          </cell>
          <cell r="C234" t="str">
            <v>Modulo de un punto</v>
          </cell>
          <cell r="D234" t="str">
            <v>Un</v>
          </cell>
          <cell r="E234">
            <v>4.8619834710743799</v>
          </cell>
        </row>
        <row r="235">
          <cell r="B235" t="str">
            <v>M232</v>
          </cell>
          <cell r="C235" t="str">
            <v>Modulo de toma</v>
          </cell>
          <cell r="D235" t="str">
            <v>Un</v>
          </cell>
          <cell r="E235">
            <v>4.1652892561983474</v>
          </cell>
        </row>
        <row r="236">
          <cell r="B236" t="str">
            <v>M233</v>
          </cell>
          <cell r="C236" t="str">
            <v>Modulo ciego</v>
          </cell>
          <cell r="D236" t="str">
            <v>Un</v>
          </cell>
          <cell r="E236">
            <v>1.2314049586776861</v>
          </cell>
        </row>
        <row r="237">
          <cell r="B237" t="str">
            <v>M234</v>
          </cell>
          <cell r="C237" t="str">
            <v>Interruptor termomagnetico tetrapolar 40 A</v>
          </cell>
          <cell r="D237" t="str">
            <v>Un</v>
          </cell>
          <cell r="E237">
            <v>89.677685950413235</v>
          </cell>
        </row>
        <row r="238">
          <cell r="B238" t="str">
            <v>M235</v>
          </cell>
          <cell r="C238" t="str">
            <v>Interruptor termomagnetico bipolar 16 A</v>
          </cell>
          <cell r="D238" t="str">
            <v>Un</v>
          </cell>
          <cell r="E238">
            <v>35.966942148760332</v>
          </cell>
        </row>
        <row r="239">
          <cell r="B239" t="str">
            <v>M236</v>
          </cell>
          <cell r="C239" t="str">
            <v>Interruptor termomagnetico bipolar 10 A</v>
          </cell>
          <cell r="D239" t="str">
            <v>Un</v>
          </cell>
          <cell r="E239">
            <v>35.966942148760332</v>
          </cell>
        </row>
        <row r="240">
          <cell r="B240" t="str">
            <v>M237</v>
          </cell>
          <cell r="C240" t="str">
            <v>Interruptor termomagnetico bipolar 32 A</v>
          </cell>
          <cell r="D240" t="str">
            <v>Un</v>
          </cell>
          <cell r="E240">
            <v>35.966942148760332</v>
          </cell>
        </row>
        <row r="241">
          <cell r="B241" t="str">
            <v>M238</v>
          </cell>
          <cell r="C241" t="str">
            <v>Interruptor termomagnetico unipolar 10 A</v>
          </cell>
          <cell r="D241" t="str">
            <v>Un</v>
          </cell>
          <cell r="E241">
            <v>16.628099173553721</v>
          </cell>
        </row>
        <row r="242">
          <cell r="B242" t="str">
            <v>M239</v>
          </cell>
          <cell r="C242" t="str">
            <v>Interruptor diferencial tetrapolar 40 A; 30mA</v>
          </cell>
          <cell r="D242" t="str">
            <v>Un</v>
          </cell>
          <cell r="E242">
            <v>276.05785123966939</v>
          </cell>
        </row>
        <row r="243">
          <cell r="B243" t="str">
            <v>M240</v>
          </cell>
          <cell r="C243" t="str">
            <v>Interruptor diferencial 25 A; 30mA</v>
          </cell>
          <cell r="D243" t="str">
            <v>Un</v>
          </cell>
          <cell r="E243">
            <v>140.70247933884298</v>
          </cell>
        </row>
        <row r="244">
          <cell r="B244" t="str">
            <v>M241</v>
          </cell>
          <cell r="C244" t="str">
            <v>Terminal p/ cable 16 mm</v>
          </cell>
          <cell r="D244" t="str">
            <v>Un</v>
          </cell>
          <cell r="E244">
            <v>2.5206611570247932</v>
          </cell>
        </row>
        <row r="245">
          <cell r="B245" t="str">
            <v>M242</v>
          </cell>
          <cell r="C245" t="str">
            <v>Terminal p/cable 4mm</v>
          </cell>
          <cell r="D245" t="str">
            <v>Un</v>
          </cell>
          <cell r="E245">
            <v>0.90082644628099184</v>
          </cell>
        </row>
        <row r="246">
          <cell r="B246" t="str">
            <v>M243</v>
          </cell>
          <cell r="C246" t="str">
            <v>Terminal p/ cable 2,5 mm</v>
          </cell>
          <cell r="D246" t="str">
            <v>Un</v>
          </cell>
          <cell r="E246">
            <v>0.80165289256198347</v>
          </cell>
        </row>
        <row r="247">
          <cell r="B247" t="str">
            <v>M244</v>
          </cell>
          <cell r="C247" t="str">
            <v>Gabinete metálico /embutir 60 módulos</v>
          </cell>
          <cell r="D247" t="str">
            <v>Un</v>
          </cell>
          <cell r="E247">
            <v>385.00000000000006</v>
          </cell>
        </row>
        <row r="248">
          <cell r="B248" t="str">
            <v>M245</v>
          </cell>
          <cell r="C248" t="str">
            <v>Gabinete metálico /embutir 30 módulos</v>
          </cell>
          <cell r="D248" t="str">
            <v>Un</v>
          </cell>
          <cell r="E248">
            <v>192.50413223140498</v>
          </cell>
        </row>
        <row r="249">
          <cell r="B249" t="str">
            <v>M246</v>
          </cell>
          <cell r="C249" t="str">
            <v>Gabinete estanco 60 modulos</v>
          </cell>
          <cell r="D249" t="str">
            <v>Un</v>
          </cell>
          <cell r="E249">
            <v>1017.65</v>
          </cell>
        </row>
        <row r="250">
          <cell r="B250" t="str">
            <v>M247</v>
          </cell>
          <cell r="C250" t="str">
            <v>Caño PVC 63</v>
          </cell>
          <cell r="D250" t="str">
            <v>Mt</v>
          </cell>
          <cell r="E250">
            <v>15.90909090909091</v>
          </cell>
        </row>
        <row r="251">
          <cell r="B251" t="str">
            <v>M248</v>
          </cell>
          <cell r="C251" t="str">
            <v>Curva PVC 63 x 45</v>
          </cell>
          <cell r="D251" t="str">
            <v>Un</v>
          </cell>
          <cell r="E251">
            <v>8.2644628099173563</v>
          </cell>
        </row>
        <row r="252">
          <cell r="B252" t="str">
            <v>M249</v>
          </cell>
          <cell r="C252" t="str">
            <v>caño 70x70x3,2</v>
          </cell>
          <cell r="D252" t="str">
            <v>un</v>
          </cell>
          <cell r="E252">
            <v>592</v>
          </cell>
        </row>
        <row r="253">
          <cell r="B253" t="str">
            <v>M250</v>
          </cell>
          <cell r="C253" t="str">
            <v>Tubo silentium 40</v>
          </cell>
          <cell r="D253" t="str">
            <v>m</v>
          </cell>
          <cell r="E253">
            <v>8.3000000000000007</v>
          </cell>
        </row>
        <row r="254">
          <cell r="B254" t="str">
            <v>M251</v>
          </cell>
          <cell r="C254" t="str">
            <v>Tubo silentium 50</v>
          </cell>
          <cell r="D254" t="str">
            <v>m</v>
          </cell>
          <cell r="E254">
            <v>11</v>
          </cell>
        </row>
        <row r="255">
          <cell r="B255" t="str">
            <v>M252</v>
          </cell>
          <cell r="C255" t="str">
            <v>Tubo silentium 63</v>
          </cell>
          <cell r="D255" t="str">
            <v>m</v>
          </cell>
          <cell r="E255">
            <v>13.5</v>
          </cell>
        </row>
        <row r="256">
          <cell r="B256" t="str">
            <v>M253</v>
          </cell>
          <cell r="C256" t="str">
            <v>Tubo silentium 110</v>
          </cell>
          <cell r="D256" t="str">
            <v>m</v>
          </cell>
          <cell r="E256">
            <v>26.9</v>
          </cell>
        </row>
        <row r="257">
          <cell r="B257" t="str">
            <v>M254</v>
          </cell>
          <cell r="C257" t="str">
            <v>Codo 40</v>
          </cell>
          <cell r="D257" t="str">
            <v>u</v>
          </cell>
          <cell r="E257">
            <v>6.6</v>
          </cell>
        </row>
        <row r="258">
          <cell r="B258" t="str">
            <v>M255</v>
          </cell>
          <cell r="C258" t="str">
            <v>Codo 50</v>
          </cell>
          <cell r="D258" t="str">
            <v>u</v>
          </cell>
          <cell r="E258">
            <v>11.1</v>
          </cell>
        </row>
        <row r="259">
          <cell r="B259" t="str">
            <v>M256</v>
          </cell>
          <cell r="C259" t="str">
            <v>Codo 63</v>
          </cell>
          <cell r="D259" t="str">
            <v>u</v>
          </cell>
          <cell r="E259">
            <v>11.6</v>
          </cell>
        </row>
        <row r="260">
          <cell r="B260" t="str">
            <v>M257</v>
          </cell>
          <cell r="C260" t="str">
            <v>Codo 110</v>
          </cell>
          <cell r="D260" t="str">
            <v>u</v>
          </cell>
          <cell r="E260">
            <v>23.2</v>
          </cell>
        </row>
        <row r="261">
          <cell r="B261" t="str">
            <v>M258</v>
          </cell>
          <cell r="C261" t="str">
            <v>Codo 110 p/ inodoro</v>
          </cell>
          <cell r="D261" t="str">
            <v>u</v>
          </cell>
          <cell r="E261">
            <v>26.6</v>
          </cell>
        </row>
        <row r="262">
          <cell r="B262" t="str">
            <v>M259</v>
          </cell>
          <cell r="C262" t="str">
            <v>Pileta Patio c/ reja</v>
          </cell>
          <cell r="D262" t="str">
            <v>u</v>
          </cell>
          <cell r="E262">
            <v>94.7</v>
          </cell>
        </row>
        <row r="263">
          <cell r="B263" t="str">
            <v>M260</v>
          </cell>
          <cell r="C263" t="str">
            <v>Boca Acceso</v>
          </cell>
          <cell r="D263" t="str">
            <v>u</v>
          </cell>
          <cell r="E263">
            <v>66.3</v>
          </cell>
        </row>
        <row r="264">
          <cell r="B264" t="str">
            <v>M261</v>
          </cell>
          <cell r="C264" t="str">
            <v>Ramal Y 110</v>
          </cell>
          <cell r="D264" t="str">
            <v>u</v>
          </cell>
          <cell r="E264">
            <v>41.5</v>
          </cell>
        </row>
        <row r="265">
          <cell r="B265" t="str">
            <v>M262</v>
          </cell>
          <cell r="C265" t="str">
            <v>Caño Lecho Nitrificante</v>
          </cell>
          <cell r="D265" t="str">
            <v>u</v>
          </cell>
          <cell r="E265">
            <v>35</v>
          </cell>
        </row>
        <row r="266">
          <cell r="B266" t="str">
            <v>M263</v>
          </cell>
          <cell r="C266" t="str">
            <v>Accesorios conex. Inodoro</v>
          </cell>
          <cell r="D266" t="str">
            <v>u</v>
          </cell>
          <cell r="E266">
            <v>100</v>
          </cell>
        </row>
        <row r="267">
          <cell r="B267" t="str">
            <v>M264</v>
          </cell>
          <cell r="C267" t="str">
            <v>Cámara inspección H°</v>
          </cell>
          <cell r="D267" t="str">
            <v>u</v>
          </cell>
          <cell r="E267">
            <v>325</v>
          </cell>
        </row>
        <row r="268">
          <cell r="B268" t="str">
            <v>M265</v>
          </cell>
          <cell r="C268" t="str">
            <v>Lubricante Aerosol</v>
          </cell>
          <cell r="D268" t="str">
            <v>m</v>
          </cell>
          <cell r="E268">
            <v>58</v>
          </cell>
        </row>
        <row r="269">
          <cell r="B269" t="str">
            <v>M266</v>
          </cell>
          <cell r="C269" t="str">
            <v>Accesorios cloacas</v>
          </cell>
          <cell r="D269" t="str">
            <v>gl</v>
          </cell>
          <cell r="E269">
            <v>150</v>
          </cell>
        </row>
        <row r="270">
          <cell r="B270" t="str">
            <v>M267</v>
          </cell>
          <cell r="C270" t="str">
            <v>Caño PVC 110 x 4mts.</v>
          </cell>
          <cell r="D270" t="str">
            <v>m</v>
          </cell>
          <cell r="E270">
            <v>25.05</v>
          </cell>
        </row>
        <row r="271">
          <cell r="B271" t="str">
            <v>M268</v>
          </cell>
          <cell r="C271" t="str">
            <v>Grampa Omega 110</v>
          </cell>
          <cell r="D271" t="str">
            <v>u</v>
          </cell>
          <cell r="E271">
            <v>6</v>
          </cell>
        </row>
        <row r="272">
          <cell r="B272" t="str">
            <v>M269</v>
          </cell>
          <cell r="C272" t="str">
            <v>Sombrerete</v>
          </cell>
          <cell r="D272" t="str">
            <v>u</v>
          </cell>
          <cell r="E272">
            <v>25</v>
          </cell>
        </row>
        <row r="273">
          <cell r="B273" t="str">
            <v>M270</v>
          </cell>
          <cell r="C273" t="str">
            <v>Tubo fusión 20</v>
          </cell>
          <cell r="D273" t="str">
            <v>m</v>
          </cell>
          <cell r="E273">
            <v>3.1</v>
          </cell>
        </row>
        <row r="274">
          <cell r="B274" t="str">
            <v>M271</v>
          </cell>
          <cell r="C274" t="str">
            <v>Tubo fusión 25</v>
          </cell>
          <cell r="D274" t="str">
            <v>m</v>
          </cell>
          <cell r="E274">
            <v>4.5999999999999996</v>
          </cell>
        </row>
        <row r="275">
          <cell r="B275" t="str">
            <v>M272</v>
          </cell>
          <cell r="C275" t="str">
            <v>Codo f/f 20</v>
          </cell>
          <cell r="D275" t="str">
            <v>u</v>
          </cell>
          <cell r="E275">
            <v>3.7</v>
          </cell>
        </row>
        <row r="276">
          <cell r="B276" t="str">
            <v>M273</v>
          </cell>
          <cell r="C276" t="str">
            <v>Codo f/f 25</v>
          </cell>
          <cell r="D276" t="str">
            <v>u</v>
          </cell>
          <cell r="E276">
            <v>6.3</v>
          </cell>
        </row>
        <row r="277">
          <cell r="B277" t="str">
            <v>M274</v>
          </cell>
          <cell r="C277" t="str">
            <v>Tubo hembra 20 x 1/2"</v>
          </cell>
          <cell r="D277" t="str">
            <v>u</v>
          </cell>
          <cell r="E277">
            <v>16.399999999999999</v>
          </cell>
        </row>
        <row r="278">
          <cell r="B278" t="str">
            <v>M275</v>
          </cell>
          <cell r="C278" t="str">
            <v>Tubo hembra 25 x 3/4"</v>
          </cell>
          <cell r="D278" t="str">
            <v>u</v>
          </cell>
          <cell r="E278">
            <v>24.4</v>
          </cell>
        </row>
        <row r="279">
          <cell r="B279" t="str">
            <v>M276</v>
          </cell>
          <cell r="C279" t="str">
            <v>Unión doble 20</v>
          </cell>
          <cell r="D279" t="str">
            <v>u</v>
          </cell>
          <cell r="E279">
            <v>21.2</v>
          </cell>
        </row>
        <row r="280">
          <cell r="B280" t="str">
            <v>M277</v>
          </cell>
          <cell r="C280" t="str">
            <v>Unión doble 25</v>
          </cell>
          <cell r="E280">
            <v>24.6</v>
          </cell>
        </row>
        <row r="281">
          <cell r="B281" t="str">
            <v>M278</v>
          </cell>
          <cell r="C281" t="str">
            <v>Válvula esférica con Campana 20</v>
          </cell>
          <cell r="D281" t="str">
            <v>u</v>
          </cell>
          <cell r="E281">
            <v>137.30000000000001</v>
          </cell>
        </row>
        <row r="282">
          <cell r="B282" t="str">
            <v>M279</v>
          </cell>
          <cell r="C282" t="str">
            <v>Válvula esférica con Campana 25</v>
          </cell>
          <cell r="D282" t="str">
            <v>u</v>
          </cell>
          <cell r="E282">
            <v>149.4</v>
          </cell>
        </row>
        <row r="283">
          <cell r="B283" t="str">
            <v>M280</v>
          </cell>
          <cell r="C283" t="str">
            <v>Caño K10 19 mm</v>
          </cell>
          <cell r="D283" t="str">
            <v>m</v>
          </cell>
          <cell r="E283">
            <v>8.3000000000000007</v>
          </cell>
        </row>
        <row r="284">
          <cell r="B284" t="str">
            <v>M281</v>
          </cell>
          <cell r="C284" t="str">
            <v>Sellarrosca H3  125 cm3</v>
          </cell>
          <cell r="D284" t="str">
            <v>u</v>
          </cell>
          <cell r="E284">
            <v>40</v>
          </cell>
        </row>
        <row r="285">
          <cell r="B285" t="str">
            <v>M282</v>
          </cell>
          <cell r="C285" t="str">
            <v>Accesorios agua</v>
          </cell>
          <cell r="D285" t="str">
            <v>gl</v>
          </cell>
          <cell r="E285">
            <v>150</v>
          </cell>
        </row>
        <row r="286">
          <cell r="B286" t="str">
            <v>M283</v>
          </cell>
          <cell r="C286" t="str">
            <v>Tubo fusión 50</v>
          </cell>
          <cell r="D286" t="str">
            <v>m</v>
          </cell>
          <cell r="E286">
            <v>14.5</v>
          </cell>
        </row>
        <row r="287">
          <cell r="B287" t="str">
            <v>M284</v>
          </cell>
          <cell r="C287" t="str">
            <v>Buje reducción 50 a 40</v>
          </cell>
          <cell r="D287" t="str">
            <v>u</v>
          </cell>
          <cell r="E287">
            <v>23.8</v>
          </cell>
        </row>
        <row r="288">
          <cell r="B288" t="str">
            <v>M285</v>
          </cell>
          <cell r="C288" t="str">
            <v>Buje reducción 40 a 32</v>
          </cell>
          <cell r="D288" t="str">
            <v>u</v>
          </cell>
          <cell r="E288">
            <v>18.3</v>
          </cell>
        </row>
        <row r="289">
          <cell r="B289" t="str">
            <v>M286</v>
          </cell>
          <cell r="C289" t="str">
            <v>Codo f/f 50</v>
          </cell>
          <cell r="D289" t="str">
            <v>u</v>
          </cell>
          <cell r="E289">
            <v>36.6</v>
          </cell>
        </row>
        <row r="290">
          <cell r="B290" t="str">
            <v>M287</v>
          </cell>
          <cell r="C290" t="str">
            <v>Cupla f/f 50</v>
          </cell>
          <cell r="D290" t="str">
            <v>u</v>
          </cell>
          <cell r="E290">
            <v>24.8</v>
          </cell>
        </row>
        <row r="291">
          <cell r="B291" t="str">
            <v>M288</v>
          </cell>
          <cell r="C291" t="str">
            <v>Te f/f 50</v>
          </cell>
          <cell r="D291" t="str">
            <v>u</v>
          </cell>
          <cell r="E291">
            <v>51</v>
          </cell>
        </row>
        <row r="292">
          <cell r="B292" t="str">
            <v>M289</v>
          </cell>
          <cell r="C292" t="str">
            <v>Tubo hembra 50 x 2"</v>
          </cell>
          <cell r="D292" t="str">
            <v>u</v>
          </cell>
          <cell r="E292">
            <v>178.9</v>
          </cell>
        </row>
        <row r="293">
          <cell r="B293" t="str">
            <v>M290</v>
          </cell>
          <cell r="C293" t="str">
            <v>Unión doble f/f 50</v>
          </cell>
          <cell r="D293" t="str">
            <v>u</v>
          </cell>
          <cell r="E293">
            <v>175.5</v>
          </cell>
        </row>
        <row r="294">
          <cell r="B294" t="str">
            <v>M291</v>
          </cell>
          <cell r="C294" t="str">
            <v>Válvula esférica 50</v>
          </cell>
          <cell r="D294" t="str">
            <v>u</v>
          </cell>
          <cell r="E294">
            <v>292.5</v>
          </cell>
        </row>
        <row r="295">
          <cell r="B295" t="str">
            <v>M292</v>
          </cell>
          <cell r="C295" t="str">
            <v>Conexión tanque 2"</v>
          </cell>
          <cell r="D295" t="str">
            <v>u</v>
          </cell>
          <cell r="E295">
            <v>51.9</v>
          </cell>
        </row>
        <row r="296">
          <cell r="B296" t="str">
            <v>M293</v>
          </cell>
          <cell r="C296" t="str">
            <v>Tanque poliet. Tricapa 1100 lts.</v>
          </cell>
          <cell r="D296" t="str">
            <v>u</v>
          </cell>
          <cell r="E296">
            <v>1170</v>
          </cell>
        </row>
        <row r="297">
          <cell r="B297" t="str">
            <v>M294</v>
          </cell>
          <cell r="C297" t="str">
            <v>Flotante 3/4" m/presión</v>
          </cell>
          <cell r="D297" t="str">
            <v>u</v>
          </cell>
          <cell r="E297">
            <v>204</v>
          </cell>
        </row>
        <row r="298">
          <cell r="B298" t="str">
            <v>M295</v>
          </cell>
          <cell r="C298" t="str">
            <v>Flotante automático</v>
          </cell>
          <cell r="D298" t="str">
            <v>u</v>
          </cell>
          <cell r="E298">
            <v>83</v>
          </cell>
        </row>
        <row r="299">
          <cell r="B299" t="str">
            <v>M296</v>
          </cell>
          <cell r="C299" t="str">
            <v>Bomba hidraulica 1 HP</v>
          </cell>
          <cell r="D299" t="str">
            <v>u</v>
          </cell>
          <cell r="E299">
            <v>1272</v>
          </cell>
        </row>
        <row r="300">
          <cell r="B300" t="str">
            <v>M297</v>
          </cell>
          <cell r="C300" t="str">
            <v>Bomba presurizadora</v>
          </cell>
          <cell r="D300" t="str">
            <v>u</v>
          </cell>
          <cell r="E300">
            <v>2878</v>
          </cell>
        </row>
        <row r="301">
          <cell r="B301" t="str">
            <v>M298</v>
          </cell>
          <cell r="C301" t="str">
            <v>Accesorios agua</v>
          </cell>
          <cell r="D301" t="str">
            <v>gl</v>
          </cell>
          <cell r="E301">
            <v>100</v>
          </cell>
        </row>
        <row r="302">
          <cell r="B302" t="str">
            <v>M299</v>
          </cell>
          <cell r="C302" t="str">
            <v>Inodoro Ferrum</v>
          </cell>
          <cell r="D302" t="str">
            <v>u</v>
          </cell>
          <cell r="E302">
            <v>511</v>
          </cell>
        </row>
        <row r="303">
          <cell r="B303" t="str">
            <v>M300</v>
          </cell>
          <cell r="C303" t="str">
            <v>Bidet Ferrum</v>
          </cell>
          <cell r="D303" t="str">
            <v>u</v>
          </cell>
          <cell r="E303">
            <v>610</v>
          </cell>
        </row>
        <row r="304">
          <cell r="B304" t="str">
            <v>M301</v>
          </cell>
          <cell r="C304" t="str">
            <v>Asiento inodoro plástico</v>
          </cell>
          <cell r="D304" t="str">
            <v>u</v>
          </cell>
          <cell r="E304">
            <v>60</v>
          </cell>
        </row>
        <row r="305">
          <cell r="B305" t="str">
            <v>M302</v>
          </cell>
          <cell r="C305" t="str">
            <v>Depósito p/ inodoro</v>
          </cell>
          <cell r="D305" t="str">
            <v>u</v>
          </cell>
          <cell r="E305">
            <v>728</v>
          </cell>
        </row>
        <row r="306">
          <cell r="B306" t="str">
            <v>M303</v>
          </cell>
          <cell r="C306" t="str">
            <v>Lavatorio Ferrum</v>
          </cell>
          <cell r="D306" t="str">
            <v>u</v>
          </cell>
          <cell r="E306">
            <v>349</v>
          </cell>
        </row>
        <row r="307">
          <cell r="B307" t="str">
            <v>M304</v>
          </cell>
          <cell r="C307" t="str">
            <v>Columna p / Lavatorio Ferrum</v>
          </cell>
          <cell r="D307" t="str">
            <v>u</v>
          </cell>
          <cell r="E307">
            <v>400</v>
          </cell>
        </row>
        <row r="308">
          <cell r="B308" t="str">
            <v>M305</v>
          </cell>
          <cell r="C308" t="str">
            <v>Percha / Toallero</v>
          </cell>
          <cell r="D308" t="str">
            <v>u</v>
          </cell>
          <cell r="E308">
            <v>45</v>
          </cell>
        </row>
        <row r="309">
          <cell r="B309" t="str">
            <v>M306</v>
          </cell>
          <cell r="C309" t="str">
            <v>Portarrollo</v>
          </cell>
          <cell r="D309" t="str">
            <v>u</v>
          </cell>
          <cell r="E309">
            <v>51</v>
          </cell>
        </row>
        <row r="310">
          <cell r="B310" t="str">
            <v>M307</v>
          </cell>
          <cell r="C310" t="str">
            <v>Flexible cromo 1/2 x 30 cm.</v>
          </cell>
          <cell r="D310" t="str">
            <v>u</v>
          </cell>
          <cell r="E310">
            <v>59</v>
          </cell>
        </row>
        <row r="311">
          <cell r="B311" t="str">
            <v>M308</v>
          </cell>
          <cell r="C311" t="str">
            <v>Pileta A. Inox. Johnson 30x40x20</v>
          </cell>
          <cell r="D311" t="str">
            <v>u</v>
          </cell>
          <cell r="E311">
            <v>466</v>
          </cell>
        </row>
        <row r="312">
          <cell r="B312" t="str">
            <v>M309</v>
          </cell>
          <cell r="C312" t="str">
            <v>Grifería Lavatorio FV</v>
          </cell>
          <cell r="D312" t="str">
            <v>u</v>
          </cell>
          <cell r="E312">
            <v>910</v>
          </cell>
        </row>
        <row r="313">
          <cell r="B313" t="str">
            <v>M310</v>
          </cell>
          <cell r="C313" t="str">
            <v>Grifería Bidet FV</v>
          </cell>
          <cell r="D313" t="str">
            <v>u</v>
          </cell>
          <cell r="E313">
            <v>910</v>
          </cell>
        </row>
        <row r="314">
          <cell r="B314" t="str">
            <v>M311</v>
          </cell>
          <cell r="C314" t="str">
            <v>Grifería Cocina FV p / mesada</v>
          </cell>
          <cell r="D314" t="str">
            <v>u</v>
          </cell>
          <cell r="E314">
            <v>910</v>
          </cell>
        </row>
        <row r="315">
          <cell r="B315" t="str">
            <v>M312</v>
          </cell>
          <cell r="C315" t="str">
            <v xml:space="preserve">Canilla FV pico manguera </v>
          </cell>
          <cell r="D315" t="str">
            <v>u</v>
          </cell>
          <cell r="E315">
            <v>91</v>
          </cell>
        </row>
        <row r="316">
          <cell r="B316" t="str">
            <v>M313</v>
          </cell>
          <cell r="C316" t="str">
            <v>Accesorios sanit. Y grifería</v>
          </cell>
          <cell r="D316" t="str">
            <v>u</v>
          </cell>
          <cell r="E316">
            <v>200</v>
          </cell>
        </row>
        <row r="317">
          <cell r="B317" t="str">
            <v>M314</v>
          </cell>
          <cell r="C317" t="str">
            <v>Pileta A. Inox. Redonda chica</v>
          </cell>
          <cell r="D317" t="str">
            <v>u</v>
          </cell>
          <cell r="E317">
            <v>334.42</v>
          </cell>
        </row>
        <row r="318">
          <cell r="B318" t="str">
            <v>M315</v>
          </cell>
          <cell r="C318" t="str">
            <v>Pileta A. Inox. Cocina</v>
          </cell>
          <cell r="D318" t="str">
            <v>u</v>
          </cell>
          <cell r="E318">
            <v>600</v>
          </cell>
        </row>
        <row r="319">
          <cell r="B319" t="str">
            <v>M316</v>
          </cell>
          <cell r="C319" t="str">
            <v>Grifería Lavatorio FV c/ temporizador</v>
          </cell>
          <cell r="D319" t="str">
            <v>u</v>
          </cell>
          <cell r="E319">
            <v>654.5</v>
          </cell>
        </row>
        <row r="320">
          <cell r="B320" t="str">
            <v>M317</v>
          </cell>
          <cell r="C320" t="str">
            <v>Grifería Lavat. FV Pressmatic Mod. 361.03 Cromo p/ Discap.</v>
          </cell>
          <cell r="D320" t="str">
            <v>u</v>
          </cell>
          <cell r="E320">
            <v>1330.4</v>
          </cell>
        </row>
        <row r="321">
          <cell r="B321" t="str">
            <v>M318</v>
          </cell>
          <cell r="C321" t="str">
            <v>Grifería Cocina FV Monocomando Swing</v>
          </cell>
          <cell r="D321" t="str">
            <v>u</v>
          </cell>
          <cell r="E321">
            <v>688.85</v>
          </cell>
        </row>
        <row r="322">
          <cell r="B322" t="str">
            <v>M319</v>
          </cell>
          <cell r="C322" t="str">
            <v xml:space="preserve">Canilla FV pico manguera </v>
          </cell>
          <cell r="D322" t="str">
            <v>u</v>
          </cell>
          <cell r="E322">
            <v>189.35</v>
          </cell>
        </row>
        <row r="323">
          <cell r="B323" t="str">
            <v>M320</v>
          </cell>
          <cell r="C323" t="str">
            <v>Accesorios sanit. Y grifería</v>
          </cell>
          <cell r="D323" t="str">
            <v>gl</v>
          </cell>
          <cell r="E323">
            <v>100</v>
          </cell>
        </row>
        <row r="324">
          <cell r="B324" t="str">
            <v>M321</v>
          </cell>
          <cell r="C324" t="str">
            <v>Gárgola H°</v>
          </cell>
          <cell r="D324" t="str">
            <v>u</v>
          </cell>
          <cell r="E324">
            <v>29</v>
          </cell>
        </row>
        <row r="325">
          <cell r="B325" t="str">
            <v>M322</v>
          </cell>
          <cell r="C325" t="str">
            <v>Divisores para baños completos</v>
          </cell>
          <cell r="D325" t="str">
            <v>gl</v>
          </cell>
          <cell r="E325">
            <v>12727</v>
          </cell>
        </row>
        <row r="326">
          <cell r="B326" t="str">
            <v>M323</v>
          </cell>
          <cell r="C326" t="str">
            <v>Chapa plegada</v>
          </cell>
          <cell r="D326" t="str">
            <v>kg</v>
          </cell>
          <cell r="E326">
            <v>28</v>
          </cell>
        </row>
        <row r="327">
          <cell r="B327" t="str">
            <v>M324</v>
          </cell>
          <cell r="C327" t="str">
            <v>Ladrillo comun</v>
          </cell>
          <cell r="D327" t="str">
            <v>un</v>
          </cell>
          <cell r="E327">
            <v>2.9</v>
          </cell>
        </row>
        <row r="328">
          <cell r="B328" t="str">
            <v>M325</v>
          </cell>
          <cell r="C328" t="str">
            <v>Ladrillón 0,20 cm</v>
          </cell>
          <cell r="D328" t="str">
            <v>un</v>
          </cell>
          <cell r="E328">
            <v>3</v>
          </cell>
        </row>
        <row r="329">
          <cell r="B329" t="str">
            <v>M326</v>
          </cell>
          <cell r="C329">
            <v>0</v>
          </cell>
          <cell r="E329">
            <v>0</v>
          </cell>
        </row>
        <row r="330">
          <cell r="B330" t="str">
            <v>M327</v>
          </cell>
          <cell r="C330" t="str">
            <v>Camara séptica</v>
          </cell>
          <cell r="D330" t="str">
            <v>un</v>
          </cell>
          <cell r="E330">
            <v>2930</v>
          </cell>
        </row>
        <row r="331">
          <cell r="B331" t="str">
            <v>M328</v>
          </cell>
          <cell r="E331">
            <v>0</v>
          </cell>
        </row>
        <row r="332">
          <cell r="B332" t="str">
            <v>M329</v>
          </cell>
          <cell r="C332" t="str">
            <v>Materiales p/losa alivianada</v>
          </cell>
          <cell r="D332" t="str">
            <v>m²</v>
          </cell>
          <cell r="E332">
            <v>35</v>
          </cell>
        </row>
        <row r="333">
          <cell r="B333" t="str">
            <v>M330</v>
          </cell>
          <cell r="C333" t="str">
            <v>Tubo Polip 160 x 4 mts.</v>
          </cell>
          <cell r="D333" t="str">
            <v>m</v>
          </cell>
          <cell r="E333">
            <v>50.3</v>
          </cell>
        </row>
        <row r="334">
          <cell r="B334" t="str">
            <v>M331</v>
          </cell>
          <cell r="C334" t="str">
            <v>Tubo Polip 200 x 4 mts.</v>
          </cell>
          <cell r="D334" t="str">
            <v>m</v>
          </cell>
          <cell r="E334">
            <v>86.5</v>
          </cell>
        </row>
        <row r="335">
          <cell r="B335" t="str">
            <v>M332</v>
          </cell>
          <cell r="C335" t="str">
            <v>Embudo Polip 200 x 200</v>
          </cell>
          <cell r="D335" t="str">
            <v>u</v>
          </cell>
          <cell r="E335">
            <v>38.5</v>
          </cell>
        </row>
        <row r="336">
          <cell r="B336" t="str">
            <v>M333</v>
          </cell>
          <cell r="C336" t="str">
            <v>Codo 160</v>
          </cell>
          <cell r="D336" t="str">
            <v>u</v>
          </cell>
          <cell r="E336">
            <v>64.599999999999994</v>
          </cell>
        </row>
        <row r="337">
          <cell r="B337" t="str">
            <v>M334</v>
          </cell>
          <cell r="C337" t="str">
            <v>Codo 200</v>
          </cell>
          <cell r="D337" t="str">
            <v>u</v>
          </cell>
          <cell r="E337">
            <v>157.69999999999999</v>
          </cell>
        </row>
        <row r="338">
          <cell r="B338" t="str">
            <v>M335</v>
          </cell>
          <cell r="C338" t="str">
            <v>Boca Desague Abierta</v>
          </cell>
          <cell r="D338" t="str">
            <v>u</v>
          </cell>
          <cell r="E338">
            <v>70</v>
          </cell>
        </row>
        <row r="339">
          <cell r="B339" t="str">
            <v>M336</v>
          </cell>
          <cell r="C339" t="str">
            <v>Caño PVC 25</v>
          </cell>
          <cell r="D339" t="str">
            <v>mts</v>
          </cell>
          <cell r="E339">
            <v>4.8899999999999997</v>
          </cell>
        </row>
        <row r="340">
          <cell r="B340" t="str">
            <v>M337</v>
          </cell>
          <cell r="C340" t="str">
            <v>Codos PVC 25</v>
          </cell>
          <cell r="D340" t="str">
            <v>un</v>
          </cell>
          <cell r="E340">
            <v>3.3</v>
          </cell>
        </row>
        <row r="341">
          <cell r="B341" t="str">
            <v>M338</v>
          </cell>
          <cell r="C341" t="str">
            <v>Tubo PVC 110</v>
          </cell>
          <cell r="D341" t="str">
            <v>mts</v>
          </cell>
          <cell r="E341">
            <v>34</v>
          </cell>
        </row>
        <row r="342">
          <cell r="B342" t="str">
            <v>M339</v>
          </cell>
          <cell r="C342" t="str">
            <v>Codos PVC 110</v>
          </cell>
          <cell r="D342" t="str">
            <v>un</v>
          </cell>
          <cell r="E342">
            <v>16.600000000000001</v>
          </cell>
        </row>
        <row r="343">
          <cell r="B343" t="str">
            <v>M340</v>
          </cell>
          <cell r="C343" t="str">
            <v>Caño de PVC 3/4</v>
          </cell>
          <cell r="D343" t="str">
            <v>mts</v>
          </cell>
          <cell r="E343">
            <v>6.9809917355371898</v>
          </cell>
        </row>
        <row r="344">
          <cell r="B344" t="str">
            <v>M341</v>
          </cell>
          <cell r="C344" t="str">
            <v>Caño de PVC 7/8</v>
          </cell>
          <cell r="D344" t="str">
            <v>mts</v>
          </cell>
          <cell r="E344">
            <v>7.2537190082644623</v>
          </cell>
        </row>
        <row r="345">
          <cell r="B345" t="str">
            <v>M342</v>
          </cell>
          <cell r="C345" t="str">
            <v>Caja rectangular PVC</v>
          </cell>
          <cell r="D345" t="str">
            <v>un</v>
          </cell>
          <cell r="E345">
            <v>3.6528925619834713</v>
          </cell>
        </row>
        <row r="346">
          <cell r="B346" t="str">
            <v>M343</v>
          </cell>
          <cell r="C346" t="str">
            <v>Caja octogonal chica PVC</v>
          </cell>
          <cell r="D346" t="str">
            <v>un</v>
          </cell>
          <cell r="E346">
            <v>3.6528925619834713</v>
          </cell>
        </row>
        <row r="347">
          <cell r="B347" t="str">
            <v>M344</v>
          </cell>
          <cell r="C347" t="str">
            <v>Caja octogonal grande PVC</v>
          </cell>
          <cell r="D347" t="str">
            <v>un</v>
          </cell>
          <cell r="E347">
            <v>5.8760330578512399</v>
          </cell>
        </row>
        <row r="348">
          <cell r="B348" t="str">
            <v>M345</v>
          </cell>
          <cell r="C348" t="str">
            <v>Caja 10x10 PVC</v>
          </cell>
          <cell r="D348" t="str">
            <v>un</v>
          </cell>
          <cell r="E348">
            <v>7.5264462809917356</v>
          </cell>
        </row>
        <row r="349">
          <cell r="B349" t="str">
            <v>M346</v>
          </cell>
          <cell r="C349" t="str">
            <v>Conector 3/4 PVC</v>
          </cell>
          <cell r="D349" t="str">
            <v>un</v>
          </cell>
          <cell r="E349">
            <v>1.5338842975206612</v>
          </cell>
        </row>
        <row r="350">
          <cell r="B350" t="str">
            <v>M347</v>
          </cell>
          <cell r="C350" t="str">
            <v>Cuplas 3/4 PVC</v>
          </cell>
          <cell r="D350" t="str">
            <v>un</v>
          </cell>
          <cell r="E350">
            <v>1.1570247933884297</v>
          </cell>
        </row>
        <row r="351">
          <cell r="B351" t="str">
            <v>M348</v>
          </cell>
          <cell r="C351" t="str">
            <v>Conector 7/8 PVC</v>
          </cell>
          <cell r="D351" t="str">
            <v>un</v>
          </cell>
          <cell r="E351">
            <v>2.9115702479338843</v>
          </cell>
        </row>
        <row r="352">
          <cell r="B352" t="str">
            <v>M349</v>
          </cell>
          <cell r="C352" t="str">
            <v>Cuplas 7/8 PVC</v>
          </cell>
          <cell r="D352" t="str">
            <v>un</v>
          </cell>
          <cell r="E352">
            <v>1.5338842975206612</v>
          </cell>
        </row>
        <row r="353">
          <cell r="B353" t="str">
            <v>M350</v>
          </cell>
          <cell r="C353" t="str">
            <v>Punta p/pararrayos franklin 5puntas</v>
          </cell>
          <cell r="D353" t="str">
            <v>un</v>
          </cell>
          <cell r="E353">
            <v>683.47107438016531</v>
          </cell>
        </row>
        <row r="354">
          <cell r="B354" t="str">
            <v>M351</v>
          </cell>
          <cell r="C354" t="str">
            <v>Jabalina 3/4 x 2 m</v>
          </cell>
          <cell r="D354" t="str">
            <v>un</v>
          </cell>
          <cell r="E354">
            <v>113.22314049586777</v>
          </cell>
        </row>
        <row r="355">
          <cell r="B355" t="str">
            <v>M352</v>
          </cell>
          <cell r="C355" t="str">
            <v>cable de cobre dsnudo 10mm</v>
          </cell>
          <cell r="D355" t="str">
            <v>mts</v>
          </cell>
          <cell r="E355">
            <v>11.404958677685951</v>
          </cell>
        </row>
        <row r="356">
          <cell r="B356" t="str">
            <v>M353</v>
          </cell>
          <cell r="C356" t="str">
            <v>ventana 200x105x013 mts chapa n°16</v>
          </cell>
          <cell r="D356" t="str">
            <v>un</v>
          </cell>
          <cell r="E356">
            <v>3003</v>
          </cell>
        </row>
        <row r="357">
          <cell r="B357" t="str">
            <v>M354</v>
          </cell>
          <cell r="C357" t="str">
            <v>ventana 200x105x010 mts chapa n°16</v>
          </cell>
          <cell r="D357" t="str">
            <v>un</v>
          </cell>
          <cell r="E357">
            <v>2940</v>
          </cell>
        </row>
        <row r="358">
          <cell r="B358" t="str">
            <v>M355</v>
          </cell>
          <cell r="C358" t="str">
            <v>puerta 090x210x010 mts A°I° 1,5</v>
          </cell>
          <cell r="D358" t="str">
            <v>un</v>
          </cell>
          <cell r="E358">
            <v>8890</v>
          </cell>
        </row>
        <row r="359">
          <cell r="B359" t="str">
            <v>M356</v>
          </cell>
          <cell r="C359" t="str">
            <v>puerta 1,50x1,05x010mts  A°I|1,5</v>
          </cell>
          <cell r="D359" t="str">
            <v>un</v>
          </cell>
          <cell r="E359">
            <v>17135</v>
          </cell>
        </row>
        <row r="360">
          <cell r="B360" t="str">
            <v>M357</v>
          </cell>
          <cell r="C360" t="str">
            <v>ventana 150x105x010mts chapa n°16</v>
          </cell>
          <cell r="D360" t="str">
            <v>un</v>
          </cell>
          <cell r="E360">
            <v>2558</v>
          </cell>
        </row>
        <row r="361">
          <cell r="B361" t="str">
            <v>M358</v>
          </cell>
          <cell r="C361" t="str">
            <v>puerta y ventana 2,50x210x013 chapan°16 y A°I°</v>
          </cell>
          <cell r="D361" t="str">
            <v>un</v>
          </cell>
          <cell r="E361">
            <v>11890</v>
          </cell>
        </row>
        <row r="362">
          <cell r="B362" t="str">
            <v>M359</v>
          </cell>
          <cell r="C362" t="str">
            <v>puerta y ventana 230x210x010mts chapan°16 y AI°</v>
          </cell>
          <cell r="D362" t="str">
            <v>un</v>
          </cell>
          <cell r="E362">
            <v>11890</v>
          </cell>
        </row>
        <row r="363">
          <cell r="B363" t="str">
            <v>M360</v>
          </cell>
          <cell r="C363" t="str">
            <v>puerta para gabinete de gas</v>
          </cell>
          <cell r="D363" t="str">
            <v>un</v>
          </cell>
          <cell r="E363">
            <v>5000</v>
          </cell>
        </row>
        <row r="364">
          <cell r="B364" t="str">
            <v>M361</v>
          </cell>
          <cell r="C364">
            <v>0</v>
          </cell>
          <cell r="E364">
            <v>0</v>
          </cell>
        </row>
        <row r="365">
          <cell r="B365" t="str">
            <v>M362</v>
          </cell>
          <cell r="C365" t="str">
            <v>Mueble bajo mesada</v>
          </cell>
          <cell r="D365" t="str">
            <v>un</v>
          </cell>
          <cell r="E365">
            <v>4000</v>
          </cell>
        </row>
        <row r="366">
          <cell r="B366" t="str">
            <v>M363</v>
          </cell>
          <cell r="C366" t="str">
            <v>Mueble Alacena</v>
          </cell>
          <cell r="D366" t="str">
            <v>un</v>
          </cell>
          <cell r="E366">
            <v>3200</v>
          </cell>
        </row>
        <row r="367">
          <cell r="B367" t="str">
            <v>M364</v>
          </cell>
          <cell r="C367" t="str">
            <v>Escritorios</v>
          </cell>
          <cell r="D367" t="str">
            <v>un</v>
          </cell>
          <cell r="E367">
            <v>2500</v>
          </cell>
        </row>
        <row r="368">
          <cell r="B368" t="str">
            <v>M365</v>
          </cell>
          <cell r="C368" t="str">
            <v>Cajeros</v>
          </cell>
          <cell r="D368" t="str">
            <v>un</v>
          </cell>
          <cell r="E368">
            <v>13700</v>
          </cell>
        </row>
        <row r="369">
          <cell r="B369" t="str">
            <v>M366</v>
          </cell>
          <cell r="C369" t="str">
            <v>Split BGH Pro 2300 frig. FC</v>
          </cell>
          <cell r="D369" t="str">
            <v>un</v>
          </cell>
          <cell r="E369">
            <v>4794.0934999999999</v>
          </cell>
        </row>
        <row r="370">
          <cell r="B370" t="str">
            <v>M367</v>
          </cell>
          <cell r="C370" t="str">
            <v>Split BGH Pro 3000 frig. FC</v>
          </cell>
          <cell r="D370" t="str">
            <v>un</v>
          </cell>
          <cell r="E370">
            <v>5450.1404999999995</v>
          </cell>
        </row>
        <row r="371">
          <cell r="B371" t="str">
            <v>M368</v>
          </cell>
          <cell r="C371" t="str">
            <v>Split BGH Pro 4500 frig. FC</v>
          </cell>
          <cell r="D371" t="str">
            <v>un</v>
          </cell>
          <cell r="E371">
            <v>8023.8129999999992</v>
          </cell>
        </row>
        <row r="372">
          <cell r="B372" t="str">
            <v>M369</v>
          </cell>
          <cell r="C372" t="str">
            <v>Split BGH Pro 6000 frig. FC</v>
          </cell>
          <cell r="D372" t="str">
            <v>un</v>
          </cell>
          <cell r="E372">
            <v>11257.808000000001</v>
          </cell>
        </row>
        <row r="373">
          <cell r="B373" t="str">
            <v>M370</v>
          </cell>
          <cell r="C373" t="str">
            <v>Piso Techo 18000 frig. BGH FC</v>
          </cell>
          <cell r="D373" t="str">
            <v>un</v>
          </cell>
          <cell r="E373">
            <v>26992.720000000001</v>
          </cell>
        </row>
        <row r="374">
          <cell r="B374" t="str">
            <v>M371</v>
          </cell>
          <cell r="C374" t="str">
            <v>Cable T/Taller 4x4mm</v>
          </cell>
          <cell r="D374" t="str">
            <v>mts.</v>
          </cell>
          <cell r="E374">
            <v>23.06</v>
          </cell>
        </row>
        <row r="375">
          <cell r="B375" t="str">
            <v>M372</v>
          </cell>
          <cell r="C375" t="str">
            <v>Termica Bipolar 15 Schneider</v>
          </cell>
          <cell r="D375" t="str">
            <v>un</v>
          </cell>
          <cell r="E375">
            <v>77.81</v>
          </cell>
        </row>
        <row r="376">
          <cell r="B376" t="str">
            <v>M373</v>
          </cell>
          <cell r="C376" t="str">
            <v>Cañeria Intercomunicacion Hasta 2TR</v>
          </cell>
          <cell r="D376" t="str">
            <v>mts</v>
          </cell>
          <cell r="E376">
            <v>185</v>
          </cell>
        </row>
        <row r="377">
          <cell r="B377" t="str">
            <v>M374</v>
          </cell>
          <cell r="C377" t="str">
            <v>Caja Estanca c/tapa</v>
          </cell>
          <cell r="D377" t="str">
            <v>un</v>
          </cell>
          <cell r="E377">
            <v>49.52</v>
          </cell>
        </row>
        <row r="378">
          <cell r="B378" t="str">
            <v>M375</v>
          </cell>
          <cell r="C378" t="str">
            <v>Modulo 20A</v>
          </cell>
          <cell r="D378" t="str">
            <v>un</v>
          </cell>
          <cell r="E378">
            <v>0</v>
          </cell>
        </row>
        <row r="379">
          <cell r="B379" t="str">
            <v>M376</v>
          </cell>
          <cell r="C379" t="str">
            <v>Modulo rj11</v>
          </cell>
          <cell r="D379" t="str">
            <v>un</v>
          </cell>
          <cell r="E379">
            <v>18.07</v>
          </cell>
        </row>
        <row r="380">
          <cell r="B380" t="str">
            <v>M377</v>
          </cell>
          <cell r="C380" t="str">
            <v>Modulo rj45</v>
          </cell>
          <cell r="D380" t="str">
            <v>un</v>
          </cell>
          <cell r="E380">
            <v>90.43</v>
          </cell>
        </row>
        <row r="381">
          <cell r="B381" t="str">
            <v>M378</v>
          </cell>
          <cell r="C381" t="str">
            <v>cable utp cat6</v>
          </cell>
          <cell r="D381" t="str">
            <v>mt</v>
          </cell>
          <cell r="E381">
            <v>8.73</v>
          </cell>
        </row>
        <row r="382">
          <cell r="B382" t="str">
            <v>M379</v>
          </cell>
          <cell r="C382" t="str">
            <v>cable 2 pares</v>
          </cell>
          <cell r="D382" t="str">
            <v>mt</v>
          </cell>
          <cell r="E382">
            <v>2.85</v>
          </cell>
        </row>
        <row r="383">
          <cell r="B383" t="str">
            <v>M380</v>
          </cell>
          <cell r="C383" t="str">
            <v>Ventana V1</v>
          </cell>
          <cell r="D383" t="str">
            <v>un</v>
          </cell>
          <cell r="E383">
            <v>4100</v>
          </cell>
        </row>
        <row r="384">
          <cell r="B384" t="str">
            <v>M381</v>
          </cell>
          <cell r="C384" t="str">
            <v>Puerta P3</v>
          </cell>
          <cell r="D384" t="str">
            <v>un</v>
          </cell>
          <cell r="E384">
            <v>5050</v>
          </cell>
        </row>
        <row r="385">
          <cell r="B385" t="str">
            <v>M382</v>
          </cell>
          <cell r="C385" t="str">
            <v>Ventana V2</v>
          </cell>
          <cell r="D385" t="str">
            <v>un</v>
          </cell>
          <cell r="E385">
            <v>1160</v>
          </cell>
        </row>
        <row r="386">
          <cell r="B386" t="str">
            <v>M383</v>
          </cell>
          <cell r="C386">
            <v>0</v>
          </cell>
          <cell r="D386" t="str">
            <v>un</v>
          </cell>
          <cell r="E386">
            <v>0</v>
          </cell>
        </row>
        <row r="387">
          <cell r="B387" t="str">
            <v>M384</v>
          </cell>
          <cell r="D387" t="str">
            <v>un</v>
          </cell>
          <cell r="E387">
            <v>0</v>
          </cell>
        </row>
        <row r="388">
          <cell r="B388" t="str">
            <v>M385</v>
          </cell>
          <cell r="C388">
            <v>0</v>
          </cell>
          <cell r="D388" t="str">
            <v>un</v>
          </cell>
          <cell r="E388">
            <v>0</v>
          </cell>
        </row>
        <row r="389">
          <cell r="B389" t="str">
            <v>M386</v>
          </cell>
          <cell r="C389" t="str">
            <v xml:space="preserve"> Fenolico 9 mm</v>
          </cell>
          <cell r="D389" t="str">
            <v>un</v>
          </cell>
          <cell r="E389">
            <v>130</v>
          </cell>
        </row>
        <row r="390">
          <cell r="B390" t="str">
            <v>M387</v>
          </cell>
          <cell r="C390">
            <v>0</v>
          </cell>
          <cell r="E390">
            <v>0</v>
          </cell>
        </row>
        <row r="391">
          <cell r="B391" t="str">
            <v>M388</v>
          </cell>
          <cell r="C391">
            <v>0</v>
          </cell>
          <cell r="E391">
            <v>0</v>
          </cell>
        </row>
        <row r="392">
          <cell r="B392" t="str">
            <v>M389</v>
          </cell>
          <cell r="C392">
            <v>0</v>
          </cell>
          <cell r="E392">
            <v>0</v>
          </cell>
        </row>
        <row r="393">
          <cell r="B393" t="str">
            <v>M390</v>
          </cell>
          <cell r="C393" t="str">
            <v>H-8 Melo</v>
          </cell>
          <cell r="D393" t="str">
            <v>m³</v>
          </cell>
          <cell r="E393">
            <v>505</v>
          </cell>
        </row>
        <row r="394">
          <cell r="B394" t="str">
            <v>M391</v>
          </cell>
          <cell r="C394" t="str">
            <v>H-11</v>
          </cell>
          <cell r="D394" t="str">
            <v>m³</v>
          </cell>
          <cell r="E394">
            <v>525</v>
          </cell>
        </row>
        <row r="395">
          <cell r="B395" t="str">
            <v>M392</v>
          </cell>
          <cell r="C395" t="str">
            <v>H-13</v>
          </cell>
          <cell r="D395" t="str">
            <v>m³</v>
          </cell>
          <cell r="E395">
            <v>590</v>
          </cell>
        </row>
        <row r="396">
          <cell r="B396" t="str">
            <v>M393</v>
          </cell>
          <cell r="C396" t="str">
            <v>H-17</v>
          </cell>
          <cell r="D396" t="str">
            <v>m³</v>
          </cell>
          <cell r="E396">
            <v>640</v>
          </cell>
        </row>
        <row r="397">
          <cell r="B397" t="str">
            <v>M394</v>
          </cell>
          <cell r="C397" t="str">
            <v>H-21</v>
          </cell>
          <cell r="D397" t="str">
            <v>m³</v>
          </cell>
          <cell r="E397">
            <v>700</v>
          </cell>
        </row>
        <row r="398">
          <cell r="B398" t="str">
            <v>M395</v>
          </cell>
          <cell r="C398" t="str">
            <v>H-21/5</v>
          </cell>
          <cell r="D398" t="str">
            <v>m³</v>
          </cell>
          <cell r="E398">
            <v>755</v>
          </cell>
        </row>
        <row r="399">
          <cell r="B399" t="str">
            <v>M396</v>
          </cell>
          <cell r="C399" t="str">
            <v>Acelerarte de endurecimiento</v>
          </cell>
          <cell r="D399" t="str">
            <v>m³</v>
          </cell>
          <cell r="E399">
            <v>70</v>
          </cell>
        </row>
        <row r="400">
          <cell r="B400" t="str">
            <v>M397</v>
          </cell>
          <cell r="C400" t="str">
            <v>Servicio de Bomba</v>
          </cell>
          <cell r="D400" t="str">
            <v>un</v>
          </cell>
          <cell r="E400">
            <v>2500</v>
          </cell>
        </row>
        <row r="401">
          <cell r="B401" t="str">
            <v>M398</v>
          </cell>
          <cell r="C401" t="str">
            <v>Central de alarma</v>
          </cell>
          <cell r="D401" t="str">
            <v>un</v>
          </cell>
          <cell r="E401">
            <v>1275</v>
          </cell>
        </row>
        <row r="402">
          <cell r="B402" t="str">
            <v>M399</v>
          </cell>
          <cell r="C402" t="str">
            <v>Sensor infrarojo}</v>
          </cell>
          <cell r="D402" t="str">
            <v>un</v>
          </cell>
          <cell r="E402">
            <v>95</v>
          </cell>
        </row>
        <row r="403">
          <cell r="B403" t="str">
            <v>M400</v>
          </cell>
          <cell r="C403" t="str">
            <v>Sensor magnetico</v>
          </cell>
          <cell r="D403" t="str">
            <v>un</v>
          </cell>
          <cell r="E403">
            <v>85</v>
          </cell>
        </row>
        <row r="404">
          <cell r="B404" t="str">
            <v>M401</v>
          </cell>
          <cell r="C404" t="str">
            <v>Teclado</v>
          </cell>
          <cell r="D404" t="str">
            <v>un</v>
          </cell>
          <cell r="E404">
            <v>442</v>
          </cell>
        </row>
        <row r="405">
          <cell r="B405" t="str">
            <v>M402</v>
          </cell>
          <cell r="C405" t="str">
            <v>Sirena interior</v>
          </cell>
          <cell r="D405" t="str">
            <v>un</v>
          </cell>
          <cell r="E405">
            <v>85</v>
          </cell>
        </row>
        <row r="406">
          <cell r="B406" t="str">
            <v>M403</v>
          </cell>
          <cell r="C406" t="str">
            <v>Sirena exterior</v>
          </cell>
          <cell r="D406" t="str">
            <v>un</v>
          </cell>
          <cell r="E406">
            <v>280</v>
          </cell>
        </row>
        <row r="407">
          <cell r="B407" t="str">
            <v>M404</v>
          </cell>
          <cell r="C407" t="str">
            <v>Cable 3 pares</v>
          </cell>
          <cell r="D407" t="str">
            <v>mt</v>
          </cell>
          <cell r="E407">
            <v>2.65</v>
          </cell>
        </row>
        <row r="408">
          <cell r="B408" t="str">
            <v>M405</v>
          </cell>
          <cell r="C408" t="str">
            <v>Tabique de Madera</v>
          </cell>
          <cell r="D408" t="str">
            <v>un</v>
          </cell>
          <cell r="E408">
            <v>6300</v>
          </cell>
        </row>
        <row r="409">
          <cell r="B409" t="str">
            <v>M406</v>
          </cell>
          <cell r="C409" t="str">
            <v>Herrajes</v>
          </cell>
          <cell r="D409" t="str">
            <v>un</v>
          </cell>
          <cell r="E409">
            <v>860</v>
          </cell>
        </row>
        <row r="410">
          <cell r="B410" t="str">
            <v>M407</v>
          </cell>
          <cell r="C410" t="str">
            <v>Letrero de A°I°</v>
          </cell>
          <cell r="D410" t="str">
            <v>un</v>
          </cell>
          <cell r="E410">
            <v>0</v>
          </cell>
        </row>
        <row r="411">
          <cell r="B411" t="str">
            <v>M408</v>
          </cell>
          <cell r="C411" t="str">
            <v>Baranda A°I°</v>
          </cell>
          <cell r="D411" t="str">
            <v>un</v>
          </cell>
          <cell r="E411">
            <v>0</v>
          </cell>
        </row>
        <row r="412">
          <cell r="B412" t="str">
            <v>M409</v>
          </cell>
          <cell r="C412" t="str">
            <v>PV</v>
          </cell>
          <cell r="D412" t="str">
            <v>un</v>
          </cell>
          <cell r="E412">
            <v>11400</v>
          </cell>
        </row>
        <row r="413">
          <cell r="B413" t="str">
            <v>M410</v>
          </cell>
          <cell r="C413" t="str">
            <v>Pc</v>
          </cell>
          <cell r="D413" t="str">
            <v>un</v>
          </cell>
          <cell r="E413">
            <v>8200</v>
          </cell>
        </row>
        <row r="414">
          <cell r="B414" t="str">
            <v>M411</v>
          </cell>
          <cell r="C414" t="str">
            <v>Pp</v>
          </cell>
          <cell r="D414" t="str">
            <v>un</v>
          </cell>
          <cell r="E414">
            <v>1800</v>
          </cell>
        </row>
        <row r="415">
          <cell r="B415" t="str">
            <v>M412</v>
          </cell>
          <cell r="C415" t="str">
            <v>P</v>
          </cell>
          <cell r="D415" t="str">
            <v>un</v>
          </cell>
          <cell r="E415">
            <v>2500</v>
          </cell>
        </row>
        <row r="416">
          <cell r="B416" t="str">
            <v>M413</v>
          </cell>
          <cell r="C416" t="str">
            <v>Pva</v>
          </cell>
          <cell r="D416" t="str">
            <v>un</v>
          </cell>
          <cell r="E416">
            <v>6800</v>
          </cell>
        </row>
        <row r="417">
          <cell r="B417" t="str">
            <v>M414</v>
          </cell>
          <cell r="C417" t="str">
            <v>Pd</v>
          </cell>
          <cell r="D417" t="str">
            <v>un</v>
          </cell>
          <cell r="E417">
            <v>1500</v>
          </cell>
        </row>
        <row r="418">
          <cell r="B418" t="str">
            <v>M415</v>
          </cell>
          <cell r="C418" t="str">
            <v>Pm</v>
          </cell>
          <cell r="D418" t="str">
            <v>un</v>
          </cell>
          <cell r="E418">
            <v>2000</v>
          </cell>
        </row>
        <row r="419">
          <cell r="B419" t="str">
            <v>M416</v>
          </cell>
          <cell r="C419" t="str">
            <v>Vaa</v>
          </cell>
          <cell r="D419" t="str">
            <v>un</v>
          </cell>
          <cell r="E419">
            <v>2000</v>
          </cell>
        </row>
        <row r="420">
          <cell r="B420" t="str">
            <v>M417</v>
          </cell>
          <cell r="C420" t="str">
            <v>Union SIGAS 25</v>
          </cell>
          <cell r="D420" t="str">
            <v>un</v>
          </cell>
          <cell r="E420">
            <v>12.26</v>
          </cell>
        </row>
        <row r="421">
          <cell r="B421" t="str">
            <v>M418</v>
          </cell>
          <cell r="C421" t="str">
            <v>Caño SIGAS 20</v>
          </cell>
          <cell r="D421" t="str">
            <v>mt</v>
          </cell>
          <cell r="E421">
            <v>36.71</v>
          </cell>
        </row>
        <row r="422">
          <cell r="B422" t="str">
            <v>M419</v>
          </cell>
          <cell r="C422" t="str">
            <v>Caño SIGAS 25</v>
          </cell>
          <cell r="D422" t="str">
            <v>mt</v>
          </cell>
          <cell r="E422">
            <v>42.58</v>
          </cell>
        </row>
        <row r="423">
          <cell r="B423" t="str">
            <v>M420</v>
          </cell>
          <cell r="C423" t="str">
            <v>Codo SIGAS 20</v>
          </cell>
          <cell r="D423" t="str">
            <v>un</v>
          </cell>
          <cell r="E423">
            <v>11.21</v>
          </cell>
        </row>
        <row r="424">
          <cell r="B424" t="str">
            <v>M421</v>
          </cell>
          <cell r="C424" t="str">
            <v>Codo SIGAS 25</v>
          </cell>
          <cell r="D424" t="str">
            <v>un</v>
          </cell>
          <cell r="E424">
            <v>13.52</v>
          </cell>
        </row>
        <row r="425">
          <cell r="B425" t="str">
            <v>M422</v>
          </cell>
          <cell r="C425" t="str">
            <v>T SIGAS 20</v>
          </cell>
          <cell r="D425" t="str">
            <v>un</v>
          </cell>
          <cell r="E425">
            <v>32.65</v>
          </cell>
        </row>
        <row r="426">
          <cell r="B426" t="str">
            <v>M423</v>
          </cell>
          <cell r="C426" t="str">
            <v>T SIGAS 25</v>
          </cell>
          <cell r="D426" t="str">
            <v>un</v>
          </cell>
          <cell r="E426">
            <v>37.72</v>
          </cell>
        </row>
        <row r="427">
          <cell r="B427" t="str">
            <v>M424</v>
          </cell>
          <cell r="C427" t="str">
            <v>Llave de paso SIGAS 20</v>
          </cell>
          <cell r="D427" t="str">
            <v>un</v>
          </cell>
          <cell r="E427">
            <v>139.87</v>
          </cell>
        </row>
        <row r="428">
          <cell r="B428" t="str">
            <v>M425</v>
          </cell>
          <cell r="C428" t="str">
            <v>Llave de paso SIGAS 25</v>
          </cell>
          <cell r="D428" t="str">
            <v>un</v>
          </cell>
          <cell r="E428">
            <v>163.53</v>
          </cell>
        </row>
        <row r="429">
          <cell r="B429" t="str">
            <v>M426</v>
          </cell>
          <cell r="C429" t="str">
            <v>Reduccion SIGAS 25 - 20</v>
          </cell>
          <cell r="D429" t="str">
            <v>un</v>
          </cell>
          <cell r="E429">
            <v>16.68</v>
          </cell>
        </row>
        <row r="430">
          <cell r="B430" t="str">
            <v>M427</v>
          </cell>
          <cell r="C430" t="str">
            <v>Codo SIGAS 20x1/2 hembra</v>
          </cell>
          <cell r="D430" t="str">
            <v>un</v>
          </cell>
          <cell r="E430">
            <v>56.68</v>
          </cell>
        </row>
        <row r="431">
          <cell r="B431" t="str">
            <v>M428</v>
          </cell>
          <cell r="C431" t="str">
            <v>Calefactor tiro balanseado 6000 cal</v>
          </cell>
          <cell r="D431" t="str">
            <v>un</v>
          </cell>
          <cell r="E431">
            <v>2952</v>
          </cell>
        </row>
        <row r="432">
          <cell r="B432" t="str">
            <v>M429</v>
          </cell>
          <cell r="C432" t="str">
            <v>Calefon</v>
          </cell>
          <cell r="D432" t="str">
            <v>un</v>
          </cell>
          <cell r="E432">
            <v>0</v>
          </cell>
        </row>
        <row r="433">
          <cell r="B433" t="str">
            <v>M430</v>
          </cell>
          <cell r="C433">
            <v>0</v>
          </cell>
          <cell r="E433">
            <v>0</v>
          </cell>
        </row>
        <row r="434">
          <cell r="B434" t="str">
            <v>M431</v>
          </cell>
          <cell r="C434" t="str">
            <v>bandeja portacable 300x50</v>
          </cell>
          <cell r="D434" t="str">
            <v>mt</v>
          </cell>
          <cell r="E434">
            <v>78.19</v>
          </cell>
        </row>
        <row r="435">
          <cell r="B435" t="str">
            <v>M432</v>
          </cell>
          <cell r="C435" t="str">
            <v>tapa para bandeja 300</v>
          </cell>
          <cell r="D435" t="str">
            <v>mt</v>
          </cell>
          <cell r="E435">
            <v>59.11</v>
          </cell>
        </row>
        <row r="436">
          <cell r="B436" t="str">
            <v>M433</v>
          </cell>
          <cell r="C436" t="str">
            <v>derivacion t p/bandeja 300x50</v>
          </cell>
          <cell r="D436" t="str">
            <v>un</v>
          </cell>
          <cell r="E436">
            <v>51.37</v>
          </cell>
        </row>
        <row r="437">
          <cell r="B437" t="str">
            <v>M434</v>
          </cell>
          <cell r="C437" t="str">
            <v>caja estanca de aluminio 10x10x10</v>
          </cell>
          <cell r="D437" t="str">
            <v>un</v>
          </cell>
          <cell r="E437">
            <v>51.18</v>
          </cell>
        </row>
        <row r="438">
          <cell r="B438" t="str">
            <v>M435</v>
          </cell>
          <cell r="C438" t="str">
            <v>caño galvanisado 7/8</v>
          </cell>
          <cell r="D438" t="str">
            <v>mt</v>
          </cell>
          <cell r="E438">
            <v>0</v>
          </cell>
        </row>
        <row r="439">
          <cell r="B439" t="str">
            <v>M436</v>
          </cell>
          <cell r="C439" t="str">
            <v>Curva galvanisada 7/8</v>
          </cell>
          <cell r="D439" t="str">
            <v>un</v>
          </cell>
          <cell r="E439">
            <v>0</v>
          </cell>
        </row>
        <row r="440">
          <cell r="B440" t="str">
            <v>M437</v>
          </cell>
          <cell r="C440" t="str">
            <v>union galvanisada 7/8</v>
          </cell>
          <cell r="D440" t="str">
            <v>un</v>
          </cell>
          <cell r="E440">
            <v>0</v>
          </cell>
        </row>
        <row r="441">
          <cell r="B441" t="str">
            <v>M438</v>
          </cell>
          <cell r="C441" t="str">
            <v>conector galvanisado 7/8</v>
          </cell>
          <cell r="D441" t="str">
            <v>un</v>
          </cell>
          <cell r="E441">
            <v>0</v>
          </cell>
        </row>
        <row r="442">
          <cell r="B442" t="str">
            <v>M439</v>
          </cell>
          <cell r="C442" t="str">
            <v>caja rectangular galvanisada 7/8</v>
          </cell>
          <cell r="D442" t="str">
            <v>un</v>
          </cell>
          <cell r="E442">
            <v>0</v>
          </cell>
        </row>
        <row r="443">
          <cell r="B443" t="str">
            <v>M440</v>
          </cell>
          <cell r="C443" t="str">
            <v>Panel led luimenac 45/830</v>
          </cell>
          <cell r="D443" t="str">
            <v>un</v>
          </cell>
          <cell r="E443">
            <v>2926.77</v>
          </cell>
        </row>
        <row r="444">
          <cell r="B444" t="str">
            <v>M441</v>
          </cell>
          <cell r="C444" t="str">
            <v>Lumenac Circus 12/830</v>
          </cell>
          <cell r="D444" t="str">
            <v>un</v>
          </cell>
          <cell r="E444">
            <v>649.38</v>
          </cell>
        </row>
        <row r="445">
          <cell r="B445" t="str">
            <v>M442</v>
          </cell>
          <cell r="C445" t="str">
            <v>Mueble de Baño</v>
          </cell>
          <cell r="D445" t="str">
            <v>un</v>
          </cell>
          <cell r="E445">
            <v>2000</v>
          </cell>
        </row>
        <row r="446">
          <cell r="B446" t="str">
            <v>M443</v>
          </cell>
          <cell r="C446" t="str">
            <v>Mueble de Cocina</v>
          </cell>
          <cell r="D446" t="str">
            <v>un</v>
          </cell>
          <cell r="E446">
            <v>3000</v>
          </cell>
        </row>
        <row r="447">
          <cell r="B447" t="str">
            <v>M444</v>
          </cell>
          <cell r="C447" t="str">
            <v>Mesada</v>
          </cell>
          <cell r="D447" t="str">
            <v>un</v>
          </cell>
          <cell r="E447">
            <v>5875</v>
          </cell>
        </row>
        <row r="448">
          <cell r="B448" t="str">
            <v>M445</v>
          </cell>
          <cell r="C448">
            <v>0</v>
          </cell>
          <cell r="E448">
            <v>0</v>
          </cell>
        </row>
        <row r="449">
          <cell r="B449" t="str">
            <v>M446</v>
          </cell>
          <cell r="C449" t="str">
            <v>Inst. Base Cloacal.</v>
          </cell>
          <cell r="D449" t="str">
            <v>gl</v>
          </cell>
          <cell r="E449">
            <v>5400</v>
          </cell>
        </row>
        <row r="450">
          <cell r="B450" t="str">
            <v>M447</v>
          </cell>
          <cell r="C450" t="str">
            <v>Inst. Ventilacion.</v>
          </cell>
          <cell r="D450" t="str">
            <v>gl</v>
          </cell>
          <cell r="E450">
            <v>1000</v>
          </cell>
        </row>
        <row r="451">
          <cell r="B451" t="str">
            <v>M448</v>
          </cell>
          <cell r="C451" t="str">
            <v>Inst. Agua Fría y Caliente</v>
          </cell>
          <cell r="D451" t="str">
            <v>gl</v>
          </cell>
          <cell r="E451">
            <v>3200</v>
          </cell>
        </row>
        <row r="452">
          <cell r="B452" t="str">
            <v>M449</v>
          </cell>
          <cell r="C452" t="str">
            <v>Tanque.</v>
          </cell>
          <cell r="D452" t="str">
            <v>gl</v>
          </cell>
          <cell r="E452">
            <v>3800</v>
          </cell>
        </row>
        <row r="453">
          <cell r="B453" t="str">
            <v>M450</v>
          </cell>
          <cell r="C453" t="str">
            <v>Artefactos y Griferia.</v>
          </cell>
          <cell r="D453" t="str">
            <v>gl</v>
          </cell>
          <cell r="E453">
            <v>12000</v>
          </cell>
        </row>
        <row r="454">
          <cell r="B454" t="str">
            <v>M451</v>
          </cell>
          <cell r="C454">
            <v>0</v>
          </cell>
          <cell r="E454">
            <v>0</v>
          </cell>
        </row>
        <row r="455">
          <cell r="B455" t="str">
            <v>M452</v>
          </cell>
          <cell r="C455" t="str">
            <v>Calefon Orbis 14 lts.</v>
          </cell>
          <cell r="D455" t="str">
            <v>un</v>
          </cell>
          <cell r="E455">
            <v>4000</v>
          </cell>
        </row>
        <row r="456">
          <cell r="B456" t="str">
            <v>M453</v>
          </cell>
          <cell r="C456" t="str">
            <v>Campana</v>
          </cell>
          <cell r="D456" t="str">
            <v>un</v>
          </cell>
          <cell r="E456">
            <v>1000</v>
          </cell>
        </row>
        <row r="457">
          <cell r="B457" t="str">
            <v>M454</v>
          </cell>
          <cell r="C457">
            <v>0</v>
          </cell>
          <cell r="E457">
            <v>0</v>
          </cell>
        </row>
        <row r="458">
          <cell r="B458" t="str">
            <v>M455</v>
          </cell>
          <cell r="C458" t="str">
            <v>Cartel</v>
          </cell>
          <cell r="D458" t="str">
            <v>gl</v>
          </cell>
          <cell r="E458">
            <v>14030</v>
          </cell>
        </row>
        <row r="459">
          <cell r="B459" t="str">
            <v>M456</v>
          </cell>
          <cell r="C459" t="str">
            <v>Luz Cartel</v>
          </cell>
          <cell r="D459" t="str">
            <v>gl</v>
          </cell>
          <cell r="E459">
            <v>4200</v>
          </cell>
        </row>
        <row r="460">
          <cell r="B460" t="str">
            <v>M457</v>
          </cell>
          <cell r="C460">
            <v>0</v>
          </cell>
          <cell r="E460">
            <v>0</v>
          </cell>
        </row>
        <row r="461">
          <cell r="B461" t="str">
            <v>M458</v>
          </cell>
          <cell r="C461" t="str">
            <v>Perfileria</v>
          </cell>
          <cell r="D461" t="str">
            <v>Kg</v>
          </cell>
          <cell r="E461">
            <v>15</v>
          </cell>
        </row>
        <row r="462">
          <cell r="B462" t="str">
            <v>M459</v>
          </cell>
          <cell r="C462" t="str">
            <v>Revestimiento</v>
          </cell>
          <cell r="D462" t="str">
            <v>m²</v>
          </cell>
          <cell r="E462">
            <v>150</v>
          </cell>
        </row>
        <row r="463">
          <cell r="B463" t="str">
            <v>M460</v>
          </cell>
          <cell r="C463">
            <v>0</v>
          </cell>
          <cell r="E463">
            <v>0</v>
          </cell>
        </row>
        <row r="464">
          <cell r="B464" t="str">
            <v>M461</v>
          </cell>
          <cell r="C464">
            <v>0</v>
          </cell>
          <cell r="E464">
            <v>0</v>
          </cell>
        </row>
        <row r="465">
          <cell r="B465" t="str">
            <v>M462</v>
          </cell>
          <cell r="C465">
            <v>0</v>
          </cell>
          <cell r="E465">
            <v>0</v>
          </cell>
        </row>
        <row r="466">
          <cell r="B466" t="str">
            <v>M463</v>
          </cell>
          <cell r="C466">
            <v>0</v>
          </cell>
          <cell r="E466">
            <v>0</v>
          </cell>
        </row>
        <row r="467">
          <cell r="B467" t="str">
            <v>M464</v>
          </cell>
          <cell r="C467">
            <v>0</v>
          </cell>
          <cell r="E467">
            <v>0</v>
          </cell>
        </row>
        <row r="468">
          <cell r="B468" t="str">
            <v>M465</v>
          </cell>
          <cell r="C468">
            <v>0</v>
          </cell>
          <cell r="E468">
            <v>0</v>
          </cell>
        </row>
        <row r="469">
          <cell r="B469" t="str">
            <v>M466</v>
          </cell>
          <cell r="C469">
            <v>0</v>
          </cell>
          <cell r="E469">
            <v>0</v>
          </cell>
        </row>
        <row r="470">
          <cell r="B470" t="str">
            <v>M467</v>
          </cell>
          <cell r="C470">
            <v>0</v>
          </cell>
          <cell r="E470">
            <v>0</v>
          </cell>
        </row>
        <row r="471">
          <cell r="B471" t="str">
            <v>M468</v>
          </cell>
          <cell r="C471">
            <v>0</v>
          </cell>
          <cell r="E471">
            <v>0</v>
          </cell>
        </row>
        <row r="472">
          <cell r="B472" t="str">
            <v>M469</v>
          </cell>
          <cell r="C472">
            <v>0</v>
          </cell>
          <cell r="E472">
            <v>0</v>
          </cell>
        </row>
        <row r="473">
          <cell r="B473" t="str">
            <v>M470</v>
          </cell>
          <cell r="C473">
            <v>0</v>
          </cell>
          <cell r="E473">
            <v>0</v>
          </cell>
        </row>
        <row r="474">
          <cell r="B474" t="str">
            <v>M471</v>
          </cell>
          <cell r="C474">
            <v>0</v>
          </cell>
          <cell r="E474">
            <v>0</v>
          </cell>
        </row>
        <row r="475">
          <cell r="B475" t="str">
            <v>M472</v>
          </cell>
          <cell r="C475">
            <v>0</v>
          </cell>
          <cell r="E475">
            <v>0</v>
          </cell>
        </row>
        <row r="476">
          <cell r="B476" t="str">
            <v>M473</v>
          </cell>
          <cell r="C476">
            <v>0</v>
          </cell>
          <cell r="E476">
            <v>0</v>
          </cell>
        </row>
        <row r="477">
          <cell r="B477" t="str">
            <v>M474</v>
          </cell>
          <cell r="C477">
            <v>0</v>
          </cell>
          <cell r="E477">
            <v>0</v>
          </cell>
        </row>
        <row r="478">
          <cell r="B478" t="str">
            <v>M475</v>
          </cell>
          <cell r="C478">
            <v>0</v>
          </cell>
          <cell r="E478">
            <v>0</v>
          </cell>
        </row>
        <row r="479">
          <cell r="B479" t="str">
            <v>M476</v>
          </cell>
          <cell r="C479">
            <v>0</v>
          </cell>
          <cell r="E479">
            <v>0</v>
          </cell>
        </row>
        <row r="480">
          <cell r="B480" t="str">
            <v>M477</v>
          </cell>
          <cell r="C480">
            <v>0</v>
          </cell>
          <cell r="E480">
            <v>0</v>
          </cell>
        </row>
        <row r="481">
          <cell r="B481" t="str">
            <v>M478</v>
          </cell>
          <cell r="C481">
            <v>0</v>
          </cell>
          <cell r="E481">
            <v>0</v>
          </cell>
        </row>
        <row r="482">
          <cell r="B482" t="str">
            <v>M479</v>
          </cell>
          <cell r="C482">
            <v>0</v>
          </cell>
          <cell r="E482">
            <v>0</v>
          </cell>
        </row>
        <row r="483">
          <cell r="B483">
            <v>0</v>
          </cell>
          <cell r="C483">
            <v>0</v>
          </cell>
          <cell r="D483">
            <v>0</v>
          </cell>
          <cell r="E483">
            <v>1</v>
          </cell>
        </row>
        <row r="484">
          <cell r="B484" t="str">
            <v>N001</v>
          </cell>
          <cell r="C484" t="str">
            <v>Oficial</v>
          </cell>
          <cell r="D484" t="str">
            <v>hs</v>
          </cell>
          <cell r="E484">
            <v>56.619016000000002</v>
          </cell>
        </row>
        <row r="485">
          <cell r="B485" t="str">
            <v>N002</v>
          </cell>
          <cell r="C485" t="str">
            <v>Ayudante</v>
          </cell>
          <cell r="D485" t="str">
            <v>hs</v>
          </cell>
          <cell r="E485">
            <v>48.396512000000008</v>
          </cell>
        </row>
        <row r="486">
          <cell r="B486" t="str">
            <v>N003</v>
          </cell>
          <cell r="C486" t="str">
            <v>Oficial Epecializado</v>
          </cell>
          <cell r="D486" t="str">
            <v>hs</v>
          </cell>
          <cell r="E486">
            <v>65.90879200000002</v>
          </cell>
        </row>
        <row r="487">
          <cell r="B487" t="str">
            <v>N004</v>
          </cell>
          <cell r="C487" t="str">
            <v>Maquinista</v>
          </cell>
          <cell r="D487" t="str">
            <v>hs</v>
          </cell>
          <cell r="E487">
            <v>56.619016000000002</v>
          </cell>
        </row>
        <row r="488">
          <cell r="B488" t="str">
            <v>N005</v>
          </cell>
          <cell r="C488" t="str">
            <v>-</v>
          </cell>
          <cell r="D488" t="str">
            <v>-</v>
          </cell>
          <cell r="E488">
            <v>0</v>
          </cell>
        </row>
        <row r="489">
          <cell r="B489" t="str">
            <v>N006</v>
          </cell>
          <cell r="C489" t="str">
            <v>Honorarios Profesionales</v>
          </cell>
          <cell r="D489" t="str">
            <v>gl</v>
          </cell>
          <cell r="E489">
            <v>1000</v>
          </cell>
        </row>
        <row r="490">
          <cell r="B490" t="str">
            <v>N007</v>
          </cell>
          <cell r="C490" t="str">
            <v>-</v>
          </cell>
          <cell r="D490" t="str">
            <v>-</v>
          </cell>
          <cell r="E490">
            <v>0</v>
          </cell>
        </row>
        <row r="491">
          <cell r="B491" t="str">
            <v>N008</v>
          </cell>
          <cell r="C491" t="str">
            <v>-</v>
          </cell>
          <cell r="D491" t="str">
            <v>-</v>
          </cell>
          <cell r="E491">
            <v>0</v>
          </cell>
        </row>
        <row r="492">
          <cell r="B492" t="str">
            <v>N009</v>
          </cell>
          <cell r="C492" t="str">
            <v>-</v>
          </cell>
          <cell r="D492" t="str">
            <v>-</v>
          </cell>
          <cell r="E492">
            <v>0</v>
          </cell>
        </row>
        <row r="493">
          <cell r="B493" t="str">
            <v>N010</v>
          </cell>
          <cell r="C493" t="str">
            <v>-</v>
          </cell>
          <cell r="D493" t="str">
            <v>-</v>
          </cell>
          <cell r="E493">
            <v>0</v>
          </cell>
        </row>
        <row r="494">
          <cell r="B494" t="str">
            <v>X001</v>
          </cell>
          <cell r="C494" t="str">
            <v>Herramientas de Mano</v>
          </cell>
          <cell r="D494" t="str">
            <v>gl</v>
          </cell>
          <cell r="E494">
            <v>1</v>
          </cell>
        </row>
        <row r="495">
          <cell r="B495" t="str">
            <v>X002</v>
          </cell>
          <cell r="C495" t="str">
            <v>Moto Compactador</v>
          </cell>
          <cell r="D495" t="str">
            <v>hs</v>
          </cell>
          <cell r="E495">
            <v>22.5</v>
          </cell>
        </row>
        <row r="496">
          <cell r="B496" t="str">
            <v>X003</v>
          </cell>
          <cell r="C496" t="str">
            <v>Hormigonera</v>
          </cell>
          <cell r="D496" t="str">
            <v>hs</v>
          </cell>
          <cell r="E496">
            <v>200</v>
          </cell>
        </row>
        <row r="497">
          <cell r="B497" t="str">
            <v>X004</v>
          </cell>
          <cell r="C497" t="str">
            <v>Planta Hormigonera</v>
          </cell>
          <cell r="D497" t="str">
            <v>hs</v>
          </cell>
          <cell r="E497">
            <v>210</v>
          </cell>
        </row>
        <row r="498">
          <cell r="B498" t="str">
            <v>X005</v>
          </cell>
          <cell r="C498" t="str">
            <v>-</v>
          </cell>
          <cell r="D498" t="str">
            <v>-</v>
          </cell>
          <cell r="E498">
            <v>0</v>
          </cell>
        </row>
        <row r="499">
          <cell r="B499" t="str">
            <v>X006</v>
          </cell>
          <cell r="C499" t="str">
            <v>Grua</v>
          </cell>
          <cell r="D499" t="str">
            <v>hs</v>
          </cell>
          <cell r="E499">
            <v>520</v>
          </cell>
        </row>
        <row r="500">
          <cell r="B500" t="str">
            <v>X007</v>
          </cell>
          <cell r="C500" t="str">
            <v>Pulidora</v>
          </cell>
          <cell r="D500" t="str">
            <v>gl</v>
          </cell>
          <cell r="E500">
            <v>1.5</v>
          </cell>
        </row>
        <row r="501">
          <cell r="B501" t="str">
            <v>X008</v>
          </cell>
          <cell r="C501" t="str">
            <v>Andamios</v>
          </cell>
          <cell r="D501" t="str">
            <v>gl</v>
          </cell>
          <cell r="E501">
            <v>4</v>
          </cell>
        </row>
        <row r="502">
          <cell r="B502" t="str">
            <v>X009</v>
          </cell>
          <cell r="C502" t="str">
            <v>Martillo Demoledor</v>
          </cell>
          <cell r="D502" t="str">
            <v>hs</v>
          </cell>
          <cell r="E502">
            <v>100</v>
          </cell>
        </row>
        <row r="503">
          <cell r="B503" t="str">
            <v>X010</v>
          </cell>
          <cell r="C503" t="str">
            <v>Pulidora</v>
          </cell>
          <cell r="D503" t="str">
            <v>hs</v>
          </cell>
          <cell r="E503">
            <v>150</v>
          </cell>
        </row>
        <row r="504">
          <cell r="B504" t="str">
            <v>X011</v>
          </cell>
          <cell r="C504" t="str">
            <v>Contenedores</v>
          </cell>
          <cell r="D504" t="str">
            <v>m3</v>
          </cell>
          <cell r="E504">
            <v>180</v>
          </cell>
        </row>
        <row r="505">
          <cell r="B505" t="str">
            <v>X012</v>
          </cell>
          <cell r="C505" t="str">
            <v>Retroexcavadora</v>
          </cell>
          <cell r="D505" t="str">
            <v>hs</v>
          </cell>
          <cell r="E505">
            <v>250</v>
          </cell>
        </row>
        <row r="506">
          <cell r="B506" t="str">
            <v>X013</v>
          </cell>
          <cell r="C506" t="str">
            <v>Camión</v>
          </cell>
          <cell r="D506" t="str">
            <v>un</v>
          </cell>
          <cell r="E506">
            <v>450</v>
          </cell>
        </row>
        <row r="507">
          <cell r="B507" t="str">
            <v>X014</v>
          </cell>
          <cell r="C507" t="str">
            <v>Mini Excavadora</v>
          </cell>
          <cell r="D507" t="str">
            <v>hs</v>
          </cell>
          <cell r="E507">
            <v>180</v>
          </cell>
        </row>
        <row r="508">
          <cell r="B508" t="str">
            <v>X015</v>
          </cell>
          <cell r="C508" t="str">
            <v>Transporte a Obra</v>
          </cell>
          <cell r="D508" t="str">
            <v>gl</v>
          </cell>
          <cell r="E508">
            <v>100</v>
          </cell>
        </row>
      </sheetData>
      <sheetData sheetId="1">
        <row r="3">
          <cell r="B3" t="str">
            <v>Z001</v>
          </cell>
        </row>
        <row r="4">
          <cell r="B4" t="str">
            <v>Z002</v>
          </cell>
          <cell r="D4" t="str">
            <v>CAJA PREVISIONAL</v>
          </cell>
        </row>
        <row r="5">
          <cell r="B5" t="str">
            <v>Z003</v>
          </cell>
          <cell r="D5" t="str">
            <v>PARA PROFESIONALES EN CIENCIAS JURÍDICAS DE LA PROVINCIA D SAN JUAN</v>
          </cell>
        </row>
        <row r="6">
          <cell r="B6" t="str">
            <v>Z004</v>
          </cell>
          <cell r="D6" t="str">
            <v>Ampliación y remodelación sede administración sede administrativa de la Institución.</v>
          </cell>
        </row>
        <row r="7">
          <cell r="B7" t="str">
            <v>Z005</v>
          </cell>
        </row>
        <row r="8">
          <cell r="B8" t="str">
            <v>Z006</v>
          </cell>
        </row>
        <row r="9">
          <cell r="B9" t="str">
            <v>Z007</v>
          </cell>
        </row>
        <row r="10">
          <cell r="B10" t="str">
            <v>Z008</v>
          </cell>
        </row>
        <row r="11">
          <cell r="B11" t="str">
            <v>Z009</v>
          </cell>
        </row>
        <row r="12">
          <cell r="B12" t="str">
            <v>Z010</v>
          </cell>
        </row>
        <row r="13">
          <cell r="B13" t="str">
            <v>Z011</v>
          </cell>
        </row>
        <row r="14">
          <cell r="B14" t="str">
            <v>Z012</v>
          </cell>
        </row>
        <row r="15">
          <cell r="B15" t="str">
            <v>Z013</v>
          </cell>
          <cell r="D15" t="str">
            <v>ANÁLISIS DE PRECIOS</v>
          </cell>
        </row>
        <row r="16">
          <cell r="B16" t="str">
            <v>Z014</v>
          </cell>
          <cell r="D16" t="str">
            <v>COMPUTO Y PRESUPUESTO</v>
          </cell>
        </row>
        <row r="17">
          <cell r="B17" t="str">
            <v>Z015</v>
          </cell>
          <cell r="D17" t="str">
            <v>PLAN DE TRABAJO</v>
          </cell>
        </row>
        <row r="18">
          <cell r="B18" t="str">
            <v>Z016</v>
          </cell>
          <cell r="D18" t="str">
            <v>CURVA DE INVERSIONES</v>
          </cell>
        </row>
        <row r="19">
          <cell r="B19" t="str">
            <v>Z017</v>
          </cell>
        </row>
        <row r="20">
          <cell r="B20" t="str">
            <v>Z018</v>
          </cell>
          <cell r="D20">
            <v>0</v>
          </cell>
        </row>
        <row r="21">
          <cell r="B21" t="str">
            <v>Z019</v>
          </cell>
        </row>
        <row r="22">
          <cell r="B22" t="str">
            <v>Z020</v>
          </cell>
          <cell r="C22">
            <v>1</v>
          </cell>
          <cell r="D22" t="str">
            <v>Tareas Preliminares</v>
          </cell>
          <cell r="E22">
            <v>0</v>
          </cell>
          <cell r="F22" t="str">
            <v>TOTAL</v>
          </cell>
        </row>
        <row r="23">
          <cell r="B23" t="str">
            <v>Z021</v>
          </cell>
          <cell r="C23">
            <v>1.1000000000000001</v>
          </cell>
          <cell r="D23" t="str">
            <v>Gestión y Habilitaciones</v>
          </cell>
          <cell r="E23" t="str">
            <v>gl</v>
          </cell>
          <cell r="F23">
            <v>1</v>
          </cell>
        </row>
        <row r="24">
          <cell r="B24" t="str">
            <v>Z022</v>
          </cell>
          <cell r="C24">
            <v>2</v>
          </cell>
          <cell r="D24" t="str">
            <v>Demoliciones</v>
          </cell>
          <cell r="E24">
            <v>0</v>
          </cell>
          <cell r="F24">
            <v>0</v>
          </cell>
        </row>
        <row r="25">
          <cell r="B25" t="str">
            <v>Z023</v>
          </cell>
          <cell r="C25">
            <v>2.1</v>
          </cell>
          <cell r="D25" t="str">
            <v>Demolición de muros y losas</v>
          </cell>
          <cell r="E25" t="str">
            <v>m³</v>
          </cell>
          <cell r="F25">
            <v>14.942731999999999</v>
          </cell>
        </row>
        <row r="26">
          <cell r="B26" t="str">
            <v>Z024</v>
          </cell>
          <cell r="C26">
            <v>2.2000000000000002</v>
          </cell>
          <cell r="D26" t="str">
            <v>Limpieza Patios</v>
          </cell>
          <cell r="E26" t="str">
            <v>gl</v>
          </cell>
          <cell r="F26">
            <v>1</v>
          </cell>
        </row>
        <row r="27">
          <cell r="B27" t="str">
            <v>Z025</v>
          </cell>
          <cell r="C27">
            <v>2.2999999999999998</v>
          </cell>
          <cell r="D27" t="str">
            <v>Contrapisos</v>
          </cell>
          <cell r="E27" t="str">
            <v>m³</v>
          </cell>
          <cell r="F27">
            <v>25.740000000000002</v>
          </cell>
        </row>
        <row r="28">
          <cell r="B28" t="str">
            <v>Z026</v>
          </cell>
          <cell r="C28">
            <v>2.4</v>
          </cell>
          <cell r="D28" t="str">
            <v>Desarme Muebles Madera</v>
          </cell>
          <cell r="E28" t="str">
            <v>gl</v>
          </cell>
          <cell r="F28">
            <v>1</v>
          </cell>
        </row>
        <row r="29">
          <cell r="B29" t="str">
            <v>Z027</v>
          </cell>
          <cell r="C29">
            <v>3</v>
          </cell>
          <cell r="D29" t="str">
            <v>Albañilería</v>
          </cell>
          <cell r="E29">
            <v>0</v>
          </cell>
          <cell r="F29">
            <v>0</v>
          </cell>
        </row>
        <row r="30">
          <cell r="B30" t="str">
            <v>Z028</v>
          </cell>
          <cell r="C30">
            <v>3.1</v>
          </cell>
          <cell r="D30" t="str">
            <v>Revoque</v>
          </cell>
          <cell r="E30" t="str">
            <v>m²</v>
          </cell>
          <cell r="F30">
            <v>107.16999999999999</v>
          </cell>
        </row>
        <row r="31">
          <cell r="B31" t="str">
            <v>Z029</v>
          </cell>
          <cell r="C31">
            <v>3.2</v>
          </cell>
          <cell r="D31" t="str">
            <v>Cielorrasos Reparación</v>
          </cell>
          <cell r="E31" t="str">
            <v>gl</v>
          </cell>
          <cell r="F31">
            <v>1</v>
          </cell>
        </row>
        <row r="32">
          <cell r="B32" t="str">
            <v>Z030</v>
          </cell>
          <cell r="C32">
            <v>3.3</v>
          </cell>
          <cell r="D32" t="str">
            <v>Reparación Cubierta Techo (membrana)</v>
          </cell>
          <cell r="E32" t="str">
            <v>m²</v>
          </cell>
          <cell r="F32">
            <v>230</v>
          </cell>
        </row>
        <row r="33">
          <cell r="B33" t="str">
            <v>Z031</v>
          </cell>
          <cell r="C33">
            <v>3.4</v>
          </cell>
          <cell r="D33" t="str">
            <v>Hormigón para columnas</v>
          </cell>
          <cell r="E33" t="str">
            <v>m³</v>
          </cell>
          <cell r="F33">
            <v>0.3</v>
          </cell>
        </row>
        <row r="34">
          <cell r="B34" t="str">
            <v>Z032</v>
          </cell>
          <cell r="C34">
            <v>3.5</v>
          </cell>
          <cell r="D34" t="str">
            <v>Hormigón para vigas</v>
          </cell>
          <cell r="E34" t="str">
            <v>m³</v>
          </cell>
          <cell r="F34">
            <v>0.6</v>
          </cell>
        </row>
        <row r="35">
          <cell r="B35" t="str">
            <v>Z033</v>
          </cell>
          <cell r="C35">
            <v>3.6</v>
          </cell>
          <cell r="D35" t="str">
            <v>Contrapisos de H°</v>
          </cell>
          <cell r="E35" t="str">
            <v>m²</v>
          </cell>
          <cell r="F35">
            <v>171.60000000000002</v>
          </cell>
        </row>
        <row r="36">
          <cell r="B36" t="str">
            <v>Z034</v>
          </cell>
          <cell r="C36">
            <v>3.7</v>
          </cell>
          <cell r="D36" t="str">
            <v>Hormigón para cimientos</v>
          </cell>
          <cell r="E36" t="str">
            <v>m³</v>
          </cell>
          <cell r="F36">
            <v>1.2000000000000002</v>
          </cell>
        </row>
        <row r="37">
          <cell r="B37" t="str">
            <v>Z035</v>
          </cell>
          <cell r="C37">
            <v>4</v>
          </cell>
          <cell r="D37" t="str">
            <v>Fachada</v>
          </cell>
          <cell r="E37">
            <v>0</v>
          </cell>
          <cell r="F37">
            <v>0</v>
          </cell>
        </row>
        <row r="38">
          <cell r="B38" t="str">
            <v>Z036</v>
          </cell>
          <cell r="C38">
            <v>4.0999999999999996</v>
          </cell>
          <cell r="D38" t="str">
            <v>Letrero</v>
          </cell>
          <cell r="E38" t="str">
            <v>gl</v>
          </cell>
          <cell r="F38">
            <v>1</v>
          </cell>
        </row>
        <row r="39">
          <cell r="B39" t="str">
            <v>Z037</v>
          </cell>
          <cell r="C39">
            <v>4.2</v>
          </cell>
          <cell r="D39" t="str">
            <v>Detalles en fachada</v>
          </cell>
          <cell r="E39" t="str">
            <v>gl</v>
          </cell>
          <cell r="F39">
            <v>1</v>
          </cell>
        </row>
        <row r="40">
          <cell r="B40" t="str">
            <v>Z038</v>
          </cell>
          <cell r="C40">
            <v>5</v>
          </cell>
          <cell r="D40" t="str">
            <v>Revestimiento Cerámico</v>
          </cell>
          <cell r="E40">
            <v>0</v>
          </cell>
          <cell r="F40">
            <v>0</v>
          </cell>
        </row>
        <row r="41">
          <cell r="B41" t="str">
            <v>Z039</v>
          </cell>
          <cell r="C41">
            <v>5.0999999999999996</v>
          </cell>
          <cell r="D41" t="str">
            <v>En Baños</v>
          </cell>
          <cell r="E41" t="str">
            <v>m²</v>
          </cell>
          <cell r="F41">
            <v>67.169999999999987</v>
          </cell>
        </row>
        <row r="42">
          <cell r="B42" t="str">
            <v>Z040</v>
          </cell>
          <cell r="C42">
            <v>5.2</v>
          </cell>
          <cell r="D42" t="str">
            <v>En Cocina</v>
          </cell>
          <cell r="E42" t="str">
            <v>m²</v>
          </cell>
          <cell r="F42">
            <v>11.27</v>
          </cell>
        </row>
        <row r="43">
          <cell r="B43" t="str">
            <v>Z041</v>
          </cell>
          <cell r="C43">
            <v>5.3</v>
          </cell>
          <cell r="D43" t="str">
            <v>Piso Porcelanato</v>
          </cell>
          <cell r="E43" t="str">
            <v>m²</v>
          </cell>
          <cell r="F43">
            <v>171.60000000000002</v>
          </cell>
        </row>
        <row r="44">
          <cell r="B44" t="str">
            <v>Z042</v>
          </cell>
          <cell r="C44">
            <v>5.4</v>
          </cell>
          <cell r="D44" t="str">
            <v>Pulido de Travertino</v>
          </cell>
          <cell r="E44" t="str">
            <v>m²</v>
          </cell>
          <cell r="F44">
            <v>20</v>
          </cell>
        </row>
        <row r="45">
          <cell r="B45" t="str">
            <v>Z043</v>
          </cell>
          <cell r="C45">
            <v>5.5</v>
          </cell>
          <cell r="D45" t="str">
            <v>Reparación Parquet - Lustre</v>
          </cell>
          <cell r="E45" t="str">
            <v>m²</v>
          </cell>
          <cell r="F45">
            <v>70</v>
          </cell>
        </row>
        <row r="46">
          <cell r="B46" t="str">
            <v>Z044</v>
          </cell>
          <cell r="C46">
            <v>6</v>
          </cell>
          <cell r="D46" t="str">
            <v>Tabiques</v>
          </cell>
          <cell r="E46">
            <v>0</v>
          </cell>
          <cell r="F46">
            <v>0</v>
          </cell>
        </row>
        <row r="47">
          <cell r="B47" t="str">
            <v>Z045</v>
          </cell>
          <cell r="C47">
            <v>6.1</v>
          </cell>
          <cell r="D47" t="str">
            <v>De placa de roca de yeso Simple</v>
          </cell>
          <cell r="E47" t="str">
            <v>m²</v>
          </cell>
          <cell r="F47">
            <v>22</v>
          </cell>
        </row>
        <row r="48">
          <cell r="B48" t="str">
            <v>Z046</v>
          </cell>
          <cell r="C48">
            <v>6.2</v>
          </cell>
          <cell r="D48" t="str">
            <v xml:space="preserve"> De Madera</v>
          </cell>
          <cell r="E48" t="str">
            <v>gl</v>
          </cell>
          <cell r="F48">
            <v>1</v>
          </cell>
        </row>
        <row r="49">
          <cell r="B49" t="str">
            <v>Z047</v>
          </cell>
          <cell r="C49">
            <v>6.3</v>
          </cell>
          <cell r="D49" t="str">
            <v>Placa Cementicio</v>
          </cell>
          <cell r="E49" t="str">
            <v>m²</v>
          </cell>
          <cell r="F49">
            <v>4.125</v>
          </cell>
        </row>
        <row r="50">
          <cell r="B50" t="str">
            <v>Z048</v>
          </cell>
          <cell r="C50">
            <v>6.4</v>
          </cell>
          <cell r="D50" t="str">
            <v>De Ladrillon</v>
          </cell>
          <cell r="E50" t="str">
            <v>m²</v>
          </cell>
          <cell r="F50">
            <v>11</v>
          </cell>
        </row>
        <row r="51">
          <cell r="B51" t="str">
            <v>Z049</v>
          </cell>
          <cell r="C51">
            <v>7</v>
          </cell>
          <cell r="D51" t="str">
            <v>Cielo Raso</v>
          </cell>
          <cell r="E51">
            <v>0</v>
          </cell>
          <cell r="F51">
            <v>0</v>
          </cell>
        </row>
        <row r="52">
          <cell r="B52" t="str">
            <v>Z050</v>
          </cell>
          <cell r="C52">
            <v>7.1</v>
          </cell>
          <cell r="D52" t="str">
            <v>De Placa de roca de yeso Suspendido</v>
          </cell>
          <cell r="E52" t="str">
            <v>m²</v>
          </cell>
          <cell r="F52">
            <v>50</v>
          </cell>
        </row>
        <row r="53">
          <cell r="B53" t="str">
            <v>Z051</v>
          </cell>
          <cell r="C53">
            <v>8</v>
          </cell>
          <cell r="D53" t="str">
            <v>Estructura metálica</v>
          </cell>
          <cell r="E53">
            <v>0</v>
          </cell>
          <cell r="F53">
            <v>0</v>
          </cell>
        </row>
        <row r="54">
          <cell r="B54" t="str">
            <v>Z052</v>
          </cell>
          <cell r="C54">
            <v>8.1</v>
          </cell>
          <cell r="D54" t="str">
            <v>Techo metálico</v>
          </cell>
          <cell r="E54" t="str">
            <v>m²</v>
          </cell>
          <cell r="F54">
            <v>59</v>
          </cell>
        </row>
        <row r="55">
          <cell r="B55" t="str">
            <v>Z053</v>
          </cell>
          <cell r="C55">
            <v>8.1999999999999993</v>
          </cell>
          <cell r="D55" t="str">
            <v>Alero Exterior</v>
          </cell>
          <cell r="E55" t="str">
            <v>gl</v>
          </cell>
          <cell r="F55">
            <v>1</v>
          </cell>
        </row>
        <row r="56">
          <cell r="B56" t="str">
            <v>Z054</v>
          </cell>
          <cell r="C56">
            <v>8.3000000000000007</v>
          </cell>
          <cell r="D56" t="str">
            <v>Baranda de Acceso</v>
          </cell>
          <cell r="E56" t="str">
            <v>gl</v>
          </cell>
          <cell r="F56">
            <v>1</v>
          </cell>
        </row>
        <row r="57">
          <cell r="B57" t="str">
            <v>Z055</v>
          </cell>
          <cell r="C57">
            <v>8.4</v>
          </cell>
          <cell r="D57" t="str">
            <v>Reja con Puerta de emergencia</v>
          </cell>
          <cell r="E57" t="str">
            <v>gl</v>
          </cell>
          <cell r="F57">
            <v>1</v>
          </cell>
        </row>
        <row r="58">
          <cell r="B58" t="str">
            <v>Z056</v>
          </cell>
          <cell r="C58">
            <v>8.5</v>
          </cell>
          <cell r="D58" t="str">
            <v xml:space="preserve">Rejas </v>
          </cell>
          <cell r="E58" t="str">
            <v>gl</v>
          </cell>
          <cell r="F58">
            <v>1</v>
          </cell>
        </row>
        <row r="59">
          <cell r="B59" t="str">
            <v>Z057</v>
          </cell>
          <cell r="C59">
            <v>8.6</v>
          </cell>
          <cell r="D59" t="str">
            <v>Reparaciones menores</v>
          </cell>
          <cell r="E59" t="str">
            <v>gl</v>
          </cell>
          <cell r="F59">
            <v>1</v>
          </cell>
        </row>
        <row r="60">
          <cell r="B60" t="str">
            <v>Z058</v>
          </cell>
          <cell r="C60">
            <v>9</v>
          </cell>
          <cell r="D60" t="str">
            <v>Instalaciones</v>
          </cell>
          <cell r="E60">
            <v>0</v>
          </cell>
          <cell r="F60">
            <v>0</v>
          </cell>
        </row>
        <row r="61">
          <cell r="B61" t="str">
            <v>Z059</v>
          </cell>
          <cell r="C61">
            <v>9.1</v>
          </cell>
          <cell r="D61" t="str">
            <v>Instalación Eléctrica</v>
          </cell>
          <cell r="E61" t="str">
            <v>gl</v>
          </cell>
          <cell r="F61">
            <v>1</v>
          </cell>
        </row>
        <row r="62">
          <cell r="B62" t="str">
            <v>Z060</v>
          </cell>
          <cell r="C62">
            <v>9.1999999999999993</v>
          </cell>
          <cell r="D62" t="str">
            <v>Instalación Datos</v>
          </cell>
          <cell r="E62" t="str">
            <v>gl</v>
          </cell>
          <cell r="F62">
            <v>1</v>
          </cell>
        </row>
        <row r="63">
          <cell r="B63" t="str">
            <v>Z061</v>
          </cell>
          <cell r="C63">
            <v>9.3000000000000007</v>
          </cell>
          <cell r="D63" t="str">
            <v>Instalación Sanitaria</v>
          </cell>
          <cell r="E63" t="str">
            <v>gl</v>
          </cell>
          <cell r="F63">
            <v>1</v>
          </cell>
        </row>
        <row r="64">
          <cell r="B64" t="str">
            <v>Z062</v>
          </cell>
          <cell r="C64">
            <v>9.4</v>
          </cell>
          <cell r="D64" t="str">
            <v>Instalación Gas</v>
          </cell>
          <cell r="E64" t="str">
            <v>gl</v>
          </cell>
          <cell r="F64">
            <v>1</v>
          </cell>
        </row>
        <row r="65">
          <cell r="B65" t="str">
            <v>Z063</v>
          </cell>
          <cell r="C65">
            <v>9.5</v>
          </cell>
          <cell r="D65" t="str">
            <v>Aire Acondicionado</v>
          </cell>
          <cell r="E65" t="str">
            <v>gl</v>
          </cell>
          <cell r="F65">
            <v>1</v>
          </cell>
        </row>
        <row r="66">
          <cell r="B66" t="str">
            <v>Z064</v>
          </cell>
          <cell r="C66">
            <v>10</v>
          </cell>
          <cell r="D66" t="str">
            <v xml:space="preserve">Pintura </v>
          </cell>
          <cell r="E66">
            <v>0</v>
          </cell>
          <cell r="F66">
            <v>0</v>
          </cell>
        </row>
        <row r="67">
          <cell r="B67" t="str">
            <v>Z065</v>
          </cell>
          <cell r="C67">
            <v>10.1</v>
          </cell>
          <cell r="D67" t="str">
            <v>Satinol en muros</v>
          </cell>
          <cell r="E67" t="str">
            <v>m²</v>
          </cell>
          <cell r="F67">
            <v>660.26</v>
          </cell>
        </row>
        <row r="68">
          <cell r="B68" t="str">
            <v>Z066</v>
          </cell>
          <cell r="C68">
            <v>10.199999999999999</v>
          </cell>
          <cell r="D68" t="str">
            <v>Látex Cielo raso</v>
          </cell>
          <cell r="E68" t="str">
            <v>m²</v>
          </cell>
          <cell r="F68">
            <v>269</v>
          </cell>
        </row>
        <row r="69">
          <cell r="B69" t="str">
            <v>Z067</v>
          </cell>
          <cell r="C69">
            <v>10.3</v>
          </cell>
          <cell r="D69" t="str">
            <v>Esmalte en carpintería</v>
          </cell>
          <cell r="E69" t="str">
            <v>m²</v>
          </cell>
          <cell r="F69">
            <v>10</v>
          </cell>
        </row>
        <row r="70">
          <cell r="B70" t="str">
            <v>Z068</v>
          </cell>
          <cell r="C70">
            <v>10.4</v>
          </cell>
          <cell r="D70" t="str">
            <v>Lustrado de Carpintería</v>
          </cell>
          <cell r="E70" t="str">
            <v>gl</v>
          </cell>
          <cell r="F70">
            <v>1</v>
          </cell>
        </row>
        <row r="71">
          <cell r="B71" t="str">
            <v>Z069</v>
          </cell>
          <cell r="C71">
            <v>11</v>
          </cell>
          <cell r="D71" t="str">
            <v>Carpintería</v>
          </cell>
          <cell r="E71">
            <v>0</v>
          </cell>
          <cell r="F71">
            <v>0</v>
          </cell>
        </row>
        <row r="72">
          <cell r="B72" t="str">
            <v>Z070</v>
          </cell>
          <cell r="C72">
            <v>11.1</v>
          </cell>
          <cell r="D72" t="str">
            <v>De Madera</v>
          </cell>
          <cell r="E72" t="str">
            <v>gl</v>
          </cell>
          <cell r="F72">
            <v>1</v>
          </cell>
        </row>
        <row r="73">
          <cell r="B73" t="str">
            <v>Z071</v>
          </cell>
          <cell r="C73">
            <v>11.2</v>
          </cell>
          <cell r="D73" t="str">
            <v>Metálica</v>
          </cell>
          <cell r="E73" t="str">
            <v>gl</v>
          </cell>
          <cell r="F73">
            <v>1</v>
          </cell>
        </row>
        <row r="74">
          <cell r="B74" t="str">
            <v>Z072</v>
          </cell>
          <cell r="C74">
            <v>12</v>
          </cell>
          <cell r="D74" t="str">
            <v>Mobiliario</v>
          </cell>
          <cell r="E74">
            <v>0</v>
          </cell>
          <cell r="F74">
            <v>0</v>
          </cell>
        </row>
        <row r="75">
          <cell r="B75" t="str">
            <v>Z073</v>
          </cell>
          <cell r="C75">
            <v>12.1</v>
          </cell>
          <cell r="D75" t="str">
            <v>Muebles Cocina</v>
          </cell>
          <cell r="E75" t="str">
            <v>gl</v>
          </cell>
          <cell r="F75">
            <v>1</v>
          </cell>
        </row>
        <row r="76">
          <cell r="B76" t="str">
            <v>Z074</v>
          </cell>
          <cell r="C76">
            <v>12.2</v>
          </cell>
          <cell r="D76" t="str">
            <v>Muebles Baño Personal</v>
          </cell>
          <cell r="E76" t="str">
            <v>gl</v>
          </cell>
          <cell r="F76">
            <v>1</v>
          </cell>
        </row>
        <row r="77">
          <cell r="B77" t="str">
            <v>Z075</v>
          </cell>
          <cell r="C77">
            <v>13</v>
          </cell>
          <cell r="D77" t="str">
            <v>Alarma</v>
          </cell>
          <cell r="E77" t="str">
            <v>gl</v>
          </cell>
          <cell r="F77">
            <v>1</v>
          </cell>
        </row>
        <row r="78">
          <cell r="B78" t="str">
            <v>Z076</v>
          </cell>
          <cell r="C78">
            <v>14</v>
          </cell>
          <cell r="D78" t="str">
            <v>Limpieza de Obra</v>
          </cell>
          <cell r="E78" t="str">
            <v>gl</v>
          </cell>
          <cell r="F78">
            <v>1</v>
          </cell>
        </row>
        <row r="79">
          <cell r="B79" t="str">
            <v>Z077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B80" t="str">
            <v>Z078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B81" t="str">
            <v>Z079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B82" t="str">
            <v>Z080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B83" t="str">
            <v>Z081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B84" t="str">
            <v>Z082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5">
          <cell r="B85" t="str">
            <v>Z083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</row>
        <row r="86">
          <cell r="B86" t="str">
            <v>Z084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B87" t="str">
            <v>Z085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B88" t="str">
            <v>Z086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89">
          <cell r="B89" t="str">
            <v>Z087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</row>
        <row r="90">
          <cell r="B90" t="str">
            <v>Z088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 t="str">
            <v>Z089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</row>
        <row r="92">
          <cell r="B92" t="str">
            <v>Z090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3">
          <cell r="B93" t="str">
            <v>Z091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</row>
        <row r="94">
          <cell r="B94" t="str">
            <v>Z092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B95" t="str">
            <v>Z093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</row>
        <row r="96">
          <cell r="B96" t="str">
            <v>Z094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B97" t="str">
            <v>Z095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8">
          <cell r="B98" t="str">
            <v>Z096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B99" t="str">
            <v>Z097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 t="str">
            <v>Z084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</row>
        <row r="101">
          <cell r="B101" t="str">
            <v>Z085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B102" t="str">
            <v>Z086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B103" t="str">
            <v>Z087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</row>
        <row r="104">
          <cell r="B104" t="str">
            <v>Z088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5">
          <cell r="B105" t="str">
            <v>Z089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</row>
        <row r="106">
          <cell r="B106" t="str">
            <v>Z090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</row>
        <row r="107">
          <cell r="B107" t="str">
            <v>Z091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</row>
        <row r="108">
          <cell r="B108" t="str">
            <v>Z092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B109" t="str">
            <v>Z093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B110" t="str">
            <v>Z094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</row>
        <row r="111">
          <cell r="B111" t="str">
            <v>Z095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</row>
        <row r="112">
          <cell r="B112" t="str">
            <v>Z096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</row>
      </sheetData>
      <sheetData sheetId="2"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C12">
            <v>0</v>
          </cell>
          <cell r="D12" t="str">
            <v>Rubro:</v>
          </cell>
          <cell r="E12">
            <v>1</v>
          </cell>
          <cell r="F12" t="str">
            <v>Tareas Preliminares</v>
          </cell>
          <cell r="G12" t="e">
            <v>#NAME?</v>
          </cell>
          <cell r="H12" t="e">
            <v>#NAME?</v>
          </cell>
          <cell r="I12">
            <v>0</v>
          </cell>
        </row>
        <row r="13">
          <cell r="C13">
            <v>0</v>
          </cell>
          <cell r="D13" t="str">
            <v>Sub Rubro:</v>
          </cell>
          <cell r="E13">
            <v>1.1000000000000001</v>
          </cell>
          <cell r="F13" t="str">
            <v>Gestión y Habilitaciones</v>
          </cell>
          <cell r="G13" t="e">
            <v>#NAME?</v>
          </cell>
          <cell r="H13" t="e">
            <v>#NAME?</v>
          </cell>
          <cell r="I13">
            <v>0</v>
          </cell>
        </row>
        <row r="14">
          <cell r="C14">
            <v>0</v>
          </cell>
          <cell r="D14" t="str">
            <v>Ítem:</v>
          </cell>
          <cell r="E14">
            <v>1.1000000000000001</v>
          </cell>
          <cell r="F14" t="str">
            <v>Gestión y Habilitaciones</v>
          </cell>
          <cell r="G14" t="e">
            <v>#NAME?</v>
          </cell>
          <cell r="H14" t="e">
            <v>#NAME?</v>
          </cell>
          <cell r="I14">
            <v>0</v>
          </cell>
        </row>
        <row r="15">
          <cell r="C15">
            <v>0</v>
          </cell>
          <cell r="D15" t="str">
            <v>Unida:</v>
          </cell>
          <cell r="E15" t="str">
            <v>gl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C16">
            <v>0</v>
          </cell>
          <cell r="D16" t="str">
            <v>DENOMINACION</v>
          </cell>
          <cell r="E16" t="str">
            <v>UNIDAD</v>
          </cell>
          <cell r="F16" t="str">
            <v>COSTO UNITARIO</v>
          </cell>
          <cell r="G16" t="str">
            <v>RENDIMIENTO POR UNIDAD</v>
          </cell>
          <cell r="H16" t="str">
            <v>COSTO PARCIAL</v>
          </cell>
          <cell r="I16">
            <v>0</v>
          </cell>
        </row>
        <row r="17">
          <cell r="C17">
            <v>0</v>
          </cell>
          <cell r="D17" t="str">
            <v>A- MATERIALES: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C18">
            <v>0</v>
          </cell>
          <cell r="D18" t="str">
            <v>Accesorios</v>
          </cell>
          <cell r="E18" t="str">
            <v>gl</v>
          </cell>
          <cell r="F18">
            <v>1000</v>
          </cell>
          <cell r="G18">
            <v>6</v>
          </cell>
          <cell r="H18">
            <v>6000</v>
          </cell>
          <cell r="I18">
            <v>0</v>
          </cell>
        </row>
        <row r="19">
          <cell r="C19">
            <v>0</v>
          </cell>
          <cell r="D19">
            <v>0</v>
          </cell>
          <cell r="E19" t="str">
            <v>-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0">
          <cell r="C20">
            <v>0</v>
          </cell>
          <cell r="D20">
            <v>0</v>
          </cell>
          <cell r="E20" t="str">
            <v>-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C21">
            <v>0</v>
          </cell>
          <cell r="D21">
            <v>0</v>
          </cell>
          <cell r="E21" t="str">
            <v>-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C22">
            <v>0</v>
          </cell>
          <cell r="D22">
            <v>0</v>
          </cell>
          <cell r="E22" t="str">
            <v>-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  <row r="23">
          <cell r="C23">
            <v>0</v>
          </cell>
          <cell r="D23">
            <v>0</v>
          </cell>
          <cell r="E23" t="str">
            <v>-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C24">
            <v>0</v>
          </cell>
          <cell r="D24">
            <v>0</v>
          </cell>
          <cell r="E24" t="str">
            <v>-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C25">
            <v>0</v>
          </cell>
          <cell r="D25">
            <v>0</v>
          </cell>
          <cell r="E25" t="str">
            <v>-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C26">
            <v>0</v>
          </cell>
          <cell r="D26">
            <v>0</v>
          </cell>
          <cell r="E26" t="str">
            <v>-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C27">
            <v>0</v>
          </cell>
          <cell r="D27">
            <v>0</v>
          </cell>
          <cell r="E27" t="str">
            <v>-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C28">
            <v>0</v>
          </cell>
          <cell r="D28">
            <v>0</v>
          </cell>
          <cell r="E28" t="str">
            <v>-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C29">
            <v>0</v>
          </cell>
          <cell r="D29">
            <v>0</v>
          </cell>
          <cell r="E29" t="str">
            <v>-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C30">
            <v>0</v>
          </cell>
          <cell r="D30">
            <v>0</v>
          </cell>
          <cell r="E30" t="str">
            <v>-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C31">
            <v>0</v>
          </cell>
          <cell r="D31">
            <v>0</v>
          </cell>
          <cell r="E31" t="str">
            <v>-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C32">
            <v>0</v>
          </cell>
          <cell r="D32">
            <v>0</v>
          </cell>
          <cell r="E32" t="str">
            <v>-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C33">
            <v>0</v>
          </cell>
          <cell r="D33">
            <v>0</v>
          </cell>
          <cell r="E33" t="str">
            <v>-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C34">
            <v>0</v>
          </cell>
          <cell r="D34">
            <v>0</v>
          </cell>
          <cell r="E34" t="str">
            <v>-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C35">
            <v>0</v>
          </cell>
          <cell r="D35">
            <v>0</v>
          </cell>
          <cell r="E35" t="str">
            <v>-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C36">
            <v>0</v>
          </cell>
          <cell r="D36">
            <v>0</v>
          </cell>
          <cell r="E36" t="str">
            <v>-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C37">
            <v>0</v>
          </cell>
          <cell r="D37">
            <v>0</v>
          </cell>
          <cell r="E37" t="str">
            <v>-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C38">
            <v>0</v>
          </cell>
          <cell r="D38" t="str">
            <v>SUB TOTAL MATERIALES</v>
          </cell>
          <cell r="E38">
            <v>0</v>
          </cell>
          <cell r="F38">
            <v>0</v>
          </cell>
          <cell r="G38">
            <v>0</v>
          </cell>
          <cell r="H38">
            <v>6000</v>
          </cell>
          <cell r="I38">
            <v>0</v>
          </cell>
        </row>
        <row r="39">
          <cell r="C39">
            <v>0</v>
          </cell>
          <cell r="D39" t="str">
            <v>B- MANO DE OBRA: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</row>
        <row r="40">
          <cell r="C40">
            <v>0</v>
          </cell>
          <cell r="D40" t="str">
            <v>Oficial</v>
          </cell>
          <cell r="E40" t="str">
            <v>hs</v>
          </cell>
          <cell r="F40">
            <v>56.619016000000002</v>
          </cell>
          <cell r="G40">
            <v>90</v>
          </cell>
          <cell r="H40">
            <v>5095.71144</v>
          </cell>
          <cell r="I40">
            <v>0</v>
          </cell>
        </row>
        <row r="41">
          <cell r="C41">
            <v>0</v>
          </cell>
          <cell r="D41" t="str">
            <v>-</v>
          </cell>
          <cell r="E41" t="str">
            <v>-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</row>
        <row r="42">
          <cell r="C42">
            <v>0</v>
          </cell>
          <cell r="D42" t="str">
            <v>-</v>
          </cell>
          <cell r="E42" t="str">
            <v>-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C43">
            <v>0</v>
          </cell>
          <cell r="D43" t="str">
            <v>-</v>
          </cell>
          <cell r="E43" t="str">
            <v>-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C44">
            <v>0</v>
          </cell>
          <cell r="D44" t="str">
            <v>-</v>
          </cell>
          <cell r="E44" t="str">
            <v>-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C45">
            <v>0</v>
          </cell>
          <cell r="D45" t="str">
            <v>SUB TOTAL MANO DE OBRA</v>
          </cell>
          <cell r="E45">
            <v>0</v>
          </cell>
          <cell r="F45">
            <v>0</v>
          </cell>
          <cell r="G45">
            <v>0</v>
          </cell>
          <cell r="H45">
            <v>5095.71144</v>
          </cell>
          <cell r="I45">
            <v>0</v>
          </cell>
        </row>
        <row r="46">
          <cell r="C46">
            <v>0</v>
          </cell>
          <cell r="D46" t="str">
            <v>C- EQUIPOS: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C47">
            <v>0</v>
          </cell>
          <cell r="D47" t="str">
            <v>Herramientas de Mano</v>
          </cell>
          <cell r="E47" t="str">
            <v>gl</v>
          </cell>
          <cell r="F47">
            <v>332.87134319999996</v>
          </cell>
          <cell r="G47">
            <v>1</v>
          </cell>
          <cell r="H47">
            <v>332.87134319999996</v>
          </cell>
          <cell r="I47">
            <v>0</v>
          </cell>
        </row>
        <row r="48">
          <cell r="C48">
            <v>0</v>
          </cell>
          <cell r="D48" t="str">
            <v>-</v>
          </cell>
          <cell r="E48" t="str">
            <v>-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C49">
            <v>0</v>
          </cell>
          <cell r="D49" t="str">
            <v>-</v>
          </cell>
          <cell r="E49" t="str">
            <v>-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C50">
            <v>0</v>
          </cell>
          <cell r="D50" t="str">
            <v>-</v>
          </cell>
          <cell r="E50" t="str">
            <v>-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</row>
        <row r="51">
          <cell r="C51">
            <v>0</v>
          </cell>
          <cell r="D51" t="str">
            <v>-</v>
          </cell>
          <cell r="E51" t="str">
            <v>-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</row>
        <row r="52">
          <cell r="C52">
            <v>0</v>
          </cell>
          <cell r="D52" t="str">
            <v>SUB TOTAL EQUIPOS</v>
          </cell>
          <cell r="E52">
            <v>0</v>
          </cell>
          <cell r="F52">
            <v>0</v>
          </cell>
          <cell r="G52">
            <v>0</v>
          </cell>
          <cell r="H52">
            <v>332.87134319999996</v>
          </cell>
          <cell r="I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</row>
        <row r="54">
          <cell r="B54">
            <v>1</v>
          </cell>
          <cell r="C54">
            <v>0</v>
          </cell>
          <cell r="D54" t="str">
            <v>COSTO-COSTO</v>
          </cell>
          <cell r="E54">
            <v>0</v>
          </cell>
          <cell r="F54">
            <v>0</v>
          </cell>
          <cell r="G54">
            <v>0</v>
          </cell>
          <cell r="H54">
            <v>11428.5827832</v>
          </cell>
          <cell r="I54">
            <v>0</v>
          </cell>
        </row>
        <row r="55">
          <cell r="C55">
            <v>0</v>
          </cell>
          <cell r="D55" t="str">
            <v>GASTO FINANCIERO</v>
          </cell>
          <cell r="E55">
            <v>0</v>
          </cell>
          <cell r="F55">
            <v>0</v>
          </cell>
          <cell r="G55">
            <v>0.02</v>
          </cell>
          <cell r="H55">
            <v>228.57165566399999</v>
          </cell>
          <cell r="I55">
            <v>0</v>
          </cell>
        </row>
        <row r="56">
          <cell r="C56">
            <v>0</v>
          </cell>
          <cell r="D56" t="str">
            <v>SUB TOTAL</v>
          </cell>
          <cell r="E56">
            <v>0</v>
          </cell>
          <cell r="F56">
            <v>0</v>
          </cell>
          <cell r="G56">
            <v>0</v>
          </cell>
          <cell r="H56">
            <v>11657.154438864</v>
          </cell>
          <cell r="I56">
            <v>0</v>
          </cell>
        </row>
        <row r="57">
          <cell r="C57">
            <v>0</v>
          </cell>
          <cell r="D57" t="str">
            <v>GASTOS GENERALES</v>
          </cell>
          <cell r="E57">
            <v>0</v>
          </cell>
          <cell r="F57">
            <v>0</v>
          </cell>
          <cell r="G57">
            <v>0.35116211482007981</v>
          </cell>
          <cell r="H57">
            <v>4093.5510055357627</v>
          </cell>
          <cell r="I57">
            <v>0</v>
          </cell>
        </row>
        <row r="58">
          <cell r="C58">
            <v>0</v>
          </cell>
          <cell r="D58" t="str">
            <v>BENEFICIO</v>
          </cell>
          <cell r="E58">
            <v>0</v>
          </cell>
          <cell r="F58">
            <v>0</v>
          </cell>
          <cell r="G58">
            <v>0.1</v>
          </cell>
          <cell r="H58">
            <v>1165.7154438864</v>
          </cell>
          <cell r="I58">
            <v>0</v>
          </cell>
        </row>
        <row r="59">
          <cell r="C59">
            <v>0</v>
          </cell>
          <cell r="D59" t="str">
            <v>COSTO TOTAL UNITARIO</v>
          </cell>
          <cell r="E59">
            <v>0</v>
          </cell>
          <cell r="F59">
            <v>0</v>
          </cell>
          <cell r="G59">
            <v>0</v>
          </cell>
          <cell r="H59">
            <v>16916.420888286164</v>
          </cell>
          <cell r="I59">
            <v>0</v>
          </cell>
        </row>
        <row r="60">
          <cell r="C60">
            <v>0</v>
          </cell>
          <cell r="D60" t="str">
            <v>IMPUETOS</v>
          </cell>
          <cell r="E60">
            <v>0</v>
          </cell>
          <cell r="F60" t="str">
            <v>IIBB</v>
          </cell>
          <cell r="G60">
            <v>2.4E-2</v>
          </cell>
          <cell r="H60">
            <v>405.99410131886793</v>
          </cell>
          <cell r="I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 t="str">
            <v>IVA</v>
          </cell>
          <cell r="G61">
            <v>0.21</v>
          </cell>
          <cell r="H61">
            <v>3552.4483865400944</v>
          </cell>
          <cell r="I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</row>
        <row r="63">
          <cell r="C63">
            <v>0</v>
          </cell>
          <cell r="D63" t="str">
            <v>PRECIO TOTAL UNITARIO</v>
          </cell>
          <cell r="E63">
            <v>0</v>
          </cell>
          <cell r="F63">
            <v>0</v>
          </cell>
          <cell r="G63">
            <v>0</v>
          </cell>
          <cell r="H63">
            <v>20874.863376145127</v>
          </cell>
          <cell r="I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C66">
            <v>0</v>
          </cell>
          <cell r="D66" t="str">
            <v>Rubro:</v>
          </cell>
          <cell r="E66">
            <v>2</v>
          </cell>
          <cell r="F66" t="str">
            <v>Demoliciones</v>
          </cell>
          <cell r="G66" t="e">
            <v>#NAME?</v>
          </cell>
          <cell r="H66" t="e">
            <v>#NAME?</v>
          </cell>
          <cell r="I66">
            <v>0</v>
          </cell>
        </row>
        <row r="67">
          <cell r="C67">
            <v>0</v>
          </cell>
          <cell r="D67" t="str">
            <v>Sub Rubro:</v>
          </cell>
          <cell r="E67">
            <v>2.1</v>
          </cell>
          <cell r="F67" t="str">
            <v>Demolición de muros y losas</v>
          </cell>
          <cell r="G67" t="e">
            <v>#NAME?</v>
          </cell>
          <cell r="H67" t="e">
            <v>#NAME?</v>
          </cell>
          <cell r="I67">
            <v>0</v>
          </cell>
        </row>
        <row r="68">
          <cell r="C68">
            <v>0</v>
          </cell>
          <cell r="D68" t="str">
            <v>Ítem:</v>
          </cell>
          <cell r="E68">
            <v>2.1</v>
          </cell>
          <cell r="F68" t="str">
            <v>Demolición de muros y losas</v>
          </cell>
          <cell r="G68" t="e">
            <v>#NAME?</v>
          </cell>
          <cell r="H68" t="e">
            <v>#NAME?</v>
          </cell>
          <cell r="I68">
            <v>0</v>
          </cell>
        </row>
        <row r="69">
          <cell r="C69">
            <v>0</v>
          </cell>
          <cell r="D69" t="str">
            <v>Unida:</v>
          </cell>
          <cell r="E69" t="str">
            <v>m³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C70">
            <v>0</v>
          </cell>
          <cell r="D70" t="str">
            <v>DENOMINACION</v>
          </cell>
          <cell r="E70" t="str">
            <v>UNIDAD</v>
          </cell>
          <cell r="F70" t="str">
            <v>COSTO UNITARIO</v>
          </cell>
          <cell r="G70" t="str">
            <v>RENDIMIENTO POR UNIDAD</v>
          </cell>
          <cell r="H70" t="str">
            <v>COSTO PARCIAL</v>
          </cell>
          <cell r="I70">
            <v>0</v>
          </cell>
        </row>
        <row r="71">
          <cell r="C71">
            <v>0</v>
          </cell>
          <cell r="D71" t="str">
            <v>A- MATERIALES: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</row>
        <row r="72">
          <cell r="C72">
            <v>0</v>
          </cell>
          <cell r="D72" t="str">
            <v xml:space="preserve"> Fenolico 9 mm</v>
          </cell>
          <cell r="E72" t="str">
            <v>un</v>
          </cell>
          <cell r="F72">
            <v>130</v>
          </cell>
          <cell r="G72">
            <v>1</v>
          </cell>
          <cell r="H72">
            <v>130</v>
          </cell>
          <cell r="I72">
            <v>0</v>
          </cell>
        </row>
        <row r="73">
          <cell r="C73">
            <v>0</v>
          </cell>
          <cell r="D73">
            <v>0</v>
          </cell>
          <cell r="E73" t="str">
            <v>-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C74">
            <v>0</v>
          </cell>
          <cell r="D74">
            <v>0</v>
          </cell>
          <cell r="E74" t="str">
            <v>-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C75">
            <v>0</v>
          </cell>
          <cell r="D75">
            <v>0</v>
          </cell>
          <cell r="E75" t="str">
            <v>-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C76">
            <v>0</v>
          </cell>
          <cell r="D76">
            <v>0</v>
          </cell>
          <cell r="E76" t="str">
            <v>-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</row>
        <row r="77">
          <cell r="C77">
            <v>0</v>
          </cell>
          <cell r="D77">
            <v>0</v>
          </cell>
          <cell r="E77" t="str">
            <v>-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C78">
            <v>0</v>
          </cell>
          <cell r="D78">
            <v>0</v>
          </cell>
          <cell r="E78" t="str">
            <v>-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C79">
            <v>0</v>
          </cell>
          <cell r="D79">
            <v>0</v>
          </cell>
          <cell r="E79" t="str">
            <v>-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C80">
            <v>0</v>
          </cell>
          <cell r="D80">
            <v>0</v>
          </cell>
          <cell r="E80" t="str">
            <v>-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C81">
            <v>0</v>
          </cell>
          <cell r="D81">
            <v>0</v>
          </cell>
          <cell r="E81" t="str">
            <v>-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</row>
        <row r="82">
          <cell r="C82">
            <v>0</v>
          </cell>
          <cell r="D82">
            <v>0</v>
          </cell>
          <cell r="E82" t="str">
            <v>-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C83">
            <v>0</v>
          </cell>
          <cell r="D83">
            <v>0</v>
          </cell>
          <cell r="E83" t="str">
            <v>-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4">
          <cell r="C84">
            <v>0</v>
          </cell>
          <cell r="D84">
            <v>0</v>
          </cell>
          <cell r="E84" t="str">
            <v>-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</row>
        <row r="85">
          <cell r="C85">
            <v>0</v>
          </cell>
          <cell r="D85">
            <v>0</v>
          </cell>
          <cell r="E85" t="str">
            <v>-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</row>
        <row r="86">
          <cell r="C86">
            <v>0</v>
          </cell>
          <cell r="D86">
            <v>0</v>
          </cell>
          <cell r="E86" t="str">
            <v>-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</row>
        <row r="87">
          <cell r="C87">
            <v>0</v>
          </cell>
          <cell r="D87">
            <v>0</v>
          </cell>
          <cell r="E87" t="str">
            <v>-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C88">
            <v>0</v>
          </cell>
          <cell r="D88">
            <v>0</v>
          </cell>
          <cell r="E88" t="str">
            <v>-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C89">
            <v>0</v>
          </cell>
          <cell r="D89">
            <v>0</v>
          </cell>
          <cell r="E89" t="str">
            <v>-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C90">
            <v>0</v>
          </cell>
          <cell r="D90">
            <v>0</v>
          </cell>
          <cell r="E90" t="str">
            <v>-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C91">
            <v>0</v>
          </cell>
          <cell r="D91">
            <v>0</v>
          </cell>
          <cell r="E91" t="str">
            <v>-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C92">
            <v>0</v>
          </cell>
          <cell r="D92" t="str">
            <v>SUB TOTAL MATERIALES</v>
          </cell>
          <cell r="E92">
            <v>0</v>
          </cell>
          <cell r="F92">
            <v>0</v>
          </cell>
          <cell r="G92">
            <v>0</v>
          </cell>
          <cell r="H92">
            <v>130</v>
          </cell>
          <cell r="I92">
            <v>0</v>
          </cell>
        </row>
        <row r="93">
          <cell r="C93">
            <v>0</v>
          </cell>
          <cell r="D93" t="str">
            <v>B- MANO DE OBRA: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C94">
            <v>0</v>
          </cell>
          <cell r="D94" t="str">
            <v>Oficial</v>
          </cell>
          <cell r="E94" t="str">
            <v>hs</v>
          </cell>
          <cell r="F94">
            <v>56.619016000000002</v>
          </cell>
          <cell r="G94">
            <v>2</v>
          </cell>
          <cell r="H94">
            <v>113.238032</v>
          </cell>
          <cell r="I94">
            <v>0</v>
          </cell>
        </row>
        <row r="95">
          <cell r="C95">
            <v>0</v>
          </cell>
          <cell r="D95" t="str">
            <v>Ayudante</v>
          </cell>
          <cell r="E95" t="str">
            <v>hs</v>
          </cell>
          <cell r="F95">
            <v>48.396512000000008</v>
          </cell>
          <cell r="G95">
            <v>1.3794789178195308</v>
          </cell>
          <cell r="H95">
            <v>66.761967999999953</v>
          </cell>
          <cell r="I95">
            <v>0</v>
          </cell>
        </row>
        <row r="96">
          <cell r="C96">
            <v>0</v>
          </cell>
          <cell r="D96" t="str">
            <v>-</v>
          </cell>
          <cell r="E96" t="str">
            <v>-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</row>
        <row r="97">
          <cell r="C97">
            <v>0</v>
          </cell>
          <cell r="D97" t="str">
            <v>-</v>
          </cell>
          <cell r="E97" t="str">
            <v>-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</row>
        <row r="98">
          <cell r="C98">
            <v>0</v>
          </cell>
          <cell r="D98" t="str">
            <v>-</v>
          </cell>
          <cell r="E98" t="str">
            <v>-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99">
          <cell r="C99">
            <v>0</v>
          </cell>
          <cell r="D99" t="str">
            <v>SUB TOTAL MANO DE OBRA</v>
          </cell>
          <cell r="E99">
            <v>0</v>
          </cell>
          <cell r="F99">
            <v>0</v>
          </cell>
          <cell r="G99">
            <v>0</v>
          </cell>
          <cell r="H99">
            <v>179.99999999999994</v>
          </cell>
          <cell r="I99">
            <v>0</v>
          </cell>
        </row>
        <row r="100">
          <cell r="C100">
            <v>0</v>
          </cell>
          <cell r="D100" t="str">
            <v>C- EQUIPOS: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C101">
            <v>0</v>
          </cell>
          <cell r="D101" t="str">
            <v>Herramientas de Mano</v>
          </cell>
          <cell r="E101" t="str">
            <v>gl</v>
          </cell>
          <cell r="F101">
            <v>9.2999999999999972</v>
          </cell>
          <cell r="G101">
            <v>1</v>
          </cell>
          <cell r="H101">
            <v>9.2999999999999972</v>
          </cell>
          <cell r="I101">
            <v>0</v>
          </cell>
        </row>
        <row r="102">
          <cell r="C102">
            <v>0</v>
          </cell>
          <cell r="D102" t="str">
            <v>Contenedores</v>
          </cell>
          <cell r="E102" t="str">
            <v>m3</v>
          </cell>
          <cell r="F102">
            <v>180</v>
          </cell>
          <cell r="G102">
            <v>1</v>
          </cell>
          <cell r="H102">
            <v>180</v>
          </cell>
          <cell r="I102">
            <v>0</v>
          </cell>
        </row>
        <row r="103">
          <cell r="C103">
            <v>0</v>
          </cell>
          <cell r="D103" t="str">
            <v>Martillo Demoledor</v>
          </cell>
          <cell r="E103" t="str">
            <v>hs</v>
          </cell>
          <cell r="F103">
            <v>100</v>
          </cell>
          <cell r="G103">
            <v>0.2</v>
          </cell>
          <cell r="H103">
            <v>20</v>
          </cell>
          <cell r="I103">
            <v>0</v>
          </cell>
        </row>
        <row r="104">
          <cell r="C104">
            <v>0</v>
          </cell>
          <cell r="D104" t="str">
            <v>-</v>
          </cell>
          <cell r="E104" t="str">
            <v>-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C105">
            <v>0</v>
          </cell>
          <cell r="D105" t="str">
            <v>-</v>
          </cell>
          <cell r="E105" t="str">
            <v>-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C106">
            <v>0</v>
          </cell>
          <cell r="D106" t="str">
            <v>SUB TOTAL EQUIPOS</v>
          </cell>
          <cell r="E106">
            <v>0</v>
          </cell>
          <cell r="F106">
            <v>0</v>
          </cell>
          <cell r="G106">
            <v>0</v>
          </cell>
          <cell r="H106">
            <v>209.3</v>
          </cell>
          <cell r="I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B108">
            <v>2</v>
          </cell>
          <cell r="C108">
            <v>0</v>
          </cell>
          <cell r="D108" t="str">
            <v>COSTO-COSTO</v>
          </cell>
          <cell r="E108">
            <v>0</v>
          </cell>
          <cell r="F108">
            <v>0</v>
          </cell>
          <cell r="G108">
            <v>0</v>
          </cell>
          <cell r="H108">
            <v>519.29999999999995</v>
          </cell>
          <cell r="I108">
            <v>0</v>
          </cell>
        </row>
        <row r="109">
          <cell r="C109">
            <v>0</v>
          </cell>
          <cell r="D109" t="str">
            <v>GASTO FINANCIERO</v>
          </cell>
          <cell r="E109">
            <v>0</v>
          </cell>
          <cell r="F109">
            <v>0</v>
          </cell>
          <cell r="G109">
            <v>0.02</v>
          </cell>
          <cell r="H109">
            <v>10.385999999999999</v>
          </cell>
          <cell r="I109">
            <v>0</v>
          </cell>
        </row>
        <row r="110">
          <cell r="C110">
            <v>0</v>
          </cell>
          <cell r="D110" t="str">
            <v>SUB TOTAL</v>
          </cell>
          <cell r="E110">
            <v>0</v>
          </cell>
          <cell r="F110">
            <v>0</v>
          </cell>
          <cell r="G110">
            <v>0</v>
          </cell>
          <cell r="H110">
            <v>529.68599999999992</v>
          </cell>
          <cell r="I110">
            <v>0</v>
          </cell>
        </row>
        <row r="111">
          <cell r="C111">
            <v>0</v>
          </cell>
          <cell r="D111" t="str">
            <v>GASTOS GENERALES</v>
          </cell>
          <cell r="E111">
            <v>0</v>
          </cell>
          <cell r="F111">
            <v>0</v>
          </cell>
          <cell r="G111">
            <v>0.35116211482007981</v>
          </cell>
          <cell r="H111">
            <v>186.00565595058876</v>
          </cell>
          <cell r="I111">
            <v>0</v>
          </cell>
        </row>
        <row r="112">
          <cell r="C112">
            <v>0</v>
          </cell>
          <cell r="D112" t="str">
            <v>BENEFICIO</v>
          </cell>
          <cell r="E112">
            <v>0</v>
          </cell>
          <cell r="F112">
            <v>0</v>
          </cell>
          <cell r="G112">
            <v>0.1</v>
          </cell>
          <cell r="H112">
            <v>52.968599999999995</v>
          </cell>
          <cell r="I112">
            <v>0</v>
          </cell>
        </row>
        <row r="113">
          <cell r="C113">
            <v>0</v>
          </cell>
          <cell r="D113" t="str">
            <v>COSTO TOTAL UNITARIO</v>
          </cell>
          <cell r="E113">
            <v>0</v>
          </cell>
          <cell r="F113">
            <v>0</v>
          </cell>
          <cell r="G113">
            <v>0</v>
          </cell>
          <cell r="H113">
            <v>768.66025595058875</v>
          </cell>
          <cell r="I113">
            <v>0</v>
          </cell>
        </row>
        <row r="114">
          <cell r="C114">
            <v>0</v>
          </cell>
          <cell r="D114" t="str">
            <v>IMPUETOS</v>
          </cell>
          <cell r="E114">
            <v>0</v>
          </cell>
          <cell r="F114" t="str">
            <v>IIBB</v>
          </cell>
          <cell r="G114">
            <v>2.4E-2</v>
          </cell>
          <cell r="H114">
            <v>18.447846142814129</v>
          </cell>
          <cell r="I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 t="str">
            <v>IVA</v>
          </cell>
          <cell r="G115">
            <v>0.21</v>
          </cell>
          <cell r="H115">
            <v>161.41865374962364</v>
          </cell>
          <cell r="I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C117">
            <v>0</v>
          </cell>
          <cell r="D117" t="str">
            <v>PRECIO TOTAL UNITARIO</v>
          </cell>
          <cell r="E117">
            <v>0</v>
          </cell>
          <cell r="F117">
            <v>0</v>
          </cell>
          <cell r="G117">
            <v>0</v>
          </cell>
          <cell r="H117">
            <v>948.52675584302654</v>
          </cell>
          <cell r="I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</row>
        <row r="120">
          <cell r="C120">
            <v>0</v>
          </cell>
          <cell r="D120" t="str">
            <v>Rubro:</v>
          </cell>
          <cell r="E120">
            <v>2</v>
          </cell>
          <cell r="F120" t="str">
            <v>Demoliciones</v>
          </cell>
          <cell r="G120" t="e">
            <v>#NAME?</v>
          </cell>
          <cell r="H120" t="e">
            <v>#NAME?</v>
          </cell>
          <cell r="I120">
            <v>0</v>
          </cell>
        </row>
        <row r="121">
          <cell r="C121">
            <v>0</v>
          </cell>
          <cell r="D121" t="str">
            <v>Sub Rubro:</v>
          </cell>
          <cell r="E121">
            <v>2.2000000000000002</v>
          </cell>
          <cell r="F121" t="str">
            <v>Limpieza Patios</v>
          </cell>
          <cell r="G121" t="e">
            <v>#NAME?</v>
          </cell>
          <cell r="H121" t="e">
            <v>#NAME?</v>
          </cell>
          <cell r="I121">
            <v>0</v>
          </cell>
        </row>
        <row r="122">
          <cell r="C122">
            <v>0</v>
          </cell>
          <cell r="D122" t="str">
            <v>Ítem:</v>
          </cell>
          <cell r="E122">
            <v>2.2000000000000002</v>
          </cell>
          <cell r="F122" t="str">
            <v>Limpieza Patios</v>
          </cell>
          <cell r="G122" t="e">
            <v>#NAME?</v>
          </cell>
          <cell r="H122" t="e">
            <v>#NAME?</v>
          </cell>
          <cell r="I122">
            <v>0</v>
          </cell>
        </row>
        <row r="123">
          <cell r="C123">
            <v>0</v>
          </cell>
          <cell r="D123" t="str">
            <v>Unida:</v>
          </cell>
          <cell r="E123" t="str">
            <v>gl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C124">
            <v>0</v>
          </cell>
          <cell r="D124" t="str">
            <v>DENOMINACION</v>
          </cell>
          <cell r="E124" t="str">
            <v>UNIDAD</v>
          </cell>
          <cell r="F124" t="str">
            <v>COSTO UNITARIO</v>
          </cell>
          <cell r="G124" t="str">
            <v>RENDIMIENTO POR UNIDAD</v>
          </cell>
          <cell r="H124" t="str">
            <v>COSTO PARCIAL</v>
          </cell>
          <cell r="I124">
            <v>0</v>
          </cell>
        </row>
        <row r="125">
          <cell r="C125">
            <v>0</v>
          </cell>
          <cell r="D125" t="str">
            <v>A- MATERIALES: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</row>
        <row r="126">
          <cell r="C126">
            <v>0</v>
          </cell>
          <cell r="D126">
            <v>0</v>
          </cell>
          <cell r="E126" t="str">
            <v>-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C127">
            <v>0</v>
          </cell>
          <cell r="D127">
            <v>0</v>
          </cell>
          <cell r="E127" t="str">
            <v>-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</row>
        <row r="128">
          <cell r="C128">
            <v>0</v>
          </cell>
          <cell r="D128">
            <v>0</v>
          </cell>
          <cell r="E128" t="str">
            <v>-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</row>
        <row r="129">
          <cell r="C129">
            <v>0</v>
          </cell>
          <cell r="D129">
            <v>0</v>
          </cell>
          <cell r="E129" t="str">
            <v>-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</row>
        <row r="130">
          <cell r="C130">
            <v>0</v>
          </cell>
          <cell r="D130">
            <v>0</v>
          </cell>
          <cell r="E130" t="str">
            <v>-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</row>
        <row r="131">
          <cell r="C131">
            <v>0</v>
          </cell>
          <cell r="D131">
            <v>0</v>
          </cell>
          <cell r="E131" t="str">
            <v>-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</row>
        <row r="132">
          <cell r="C132">
            <v>0</v>
          </cell>
          <cell r="D132">
            <v>0</v>
          </cell>
          <cell r="E132" t="str">
            <v>-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</row>
        <row r="133">
          <cell r="C133">
            <v>0</v>
          </cell>
          <cell r="D133">
            <v>0</v>
          </cell>
          <cell r="E133" t="str">
            <v>-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C134">
            <v>0</v>
          </cell>
          <cell r="D134">
            <v>0</v>
          </cell>
          <cell r="E134" t="str">
            <v>-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</row>
        <row r="135">
          <cell r="C135">
            <v>0</v>
          </cell>
          <cell r="D135">
            <v>0</v>
          </cell>
          <cell r="E135" t="str">
            <v>-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C136">
            <v>0</v>
          </cell>
          <cell r="D136">
            <v>0</v>
          </cell>
          <cell r="E136" t="str">
            <v>-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C137">
            <v>0</v>
          </cell>
          <cell r="D137">
            <v>0</v>
          </cell>
          <cell r="E137" t="str">
            <v>-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C138">
            <v>0</v>
          </cell>
          <cell r="D138">
            <v>0</v>
          </cell>
          <cell r="E138" t="str">
            <v>-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C139">
            <v>0</v>
          </cell>
          <cell r="D139">
            <v>0</v>
          </cell>
          <cell r="E139" t="str">
            <v>-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C140">
            <v>0</v>
          </cell>
          <cell r="D140">
            <v>0</v>
          </cell>
          <cell r="E140" t="str">
            <v>-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</row>
        <row r="141">
          <cell r="C141">
            <v>0</v>
          </cell>
          <cell r="D141">
            <v>0</v>
          </cell>
          <cell r="E141" t="str">
            <v>-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</row>
        <row r="142">
          <cell r="C142">
            <v>0</v>
          </cell>
          <cell r="D142">
            <v>0</v>
          </cell>
          <cell r="E142" t="str">
            <v>-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</row>
        <row r="143">
          <cell r="C143">
            <v>0</v>
          </cell>
          <cell r="D143">
            <v>0</v>
          </cell>
          <cell r="E143" t="str">
            <v>-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</row>
        <row r="144">
          <cell r="C144">
            <v>0</v>
          </cell>
          <cell r="D144">
            <v>0</v>
          </cell>
          <cell r="E144" t="str">
            <v>-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</row>
        <row r="145">
          <cell r="C145">
            <v>0</v>
          </cell>
          <cell r="D145">
            <v>0</v>
          </cell>
          <cell r="E145" t="str">
            <v>-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</row>
        <row r="146">
          <cell r="C146">
            <v>0</v>
          </cell>
          <cell r="D146" t="str">
            <v>SUB TOTAL MATERIALES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C147">
            <v>0</v>
          </cell>
          <cell r="D147" t="str">
            <v>B- MANO DE OBRA: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C148">
            <v>0</v>
          </cell>
          <cell r="D148" t="str">
            <v>Oficial</v>
          </cell>
          <cell r="E148" t="str">
            <v>hs</v>
          </cell>
          <cell r="F148">
            <v>56.619016000000002</v>
          </cell>
          <cell r="G148">
            <v>60</v>
          </cell>
          <cell r="H148">
            <v>3397.1409600000002</v>
          </cell>
          <cell r="I148">
            <v>0</v>
          </cell>
        </row>
        <row r="149">
          <cell r="C149">
            <v>0</v>
          </cell>
          <cell r="D149" t="str">
            <v>Ayudante</v>
          </cell>
          <cell r="E149" t="str">
            <v>hs</v>
          </cell>
          <cell r="F149">
            <v>48.396512000000008</v>
          </cell>
          <cell r="G149">
            <v>41.384367534585962</v>
          </cell>
          <cell r="H149">
            <v>2002.8590400000003</v>
          </cell>
          <cell r="I149">
            <v>0</v>
          </cell>
        </row>
        <row r="150">
          <cell r="C150">
            <v>0</v>
          </cell>
          <cell r="D150" t="str">
            <v>-</v>
          </cell>
          <cell r="E150" t="str">
            <v>-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</row>
        <row r="151">
          <cell r="C151">
            <v>0</v>
          </cell>
          <cell r="D151" t="str">
            <v>-</v>
          </cell>
          <cell r="E151" t="str">
            <v>-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</row>
        <row r="152">
          <cell r="C152">
            <v>0</v>
          </cell>
          <cell r="D152" t="str">
            <v>-</v>
          </cell>
          <cell r="E152" t="str">
            <v>-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</row>
        <row r="153">
          <cell r="C153">
            <v>0</v>
          </cell>
          <cell r="D153" t="str">
            <v>SUB TOTAL MANO DE OBRA</v>
          </cell>
          <cell r="E153">
            <v>0</v>
          </cell>
          <cell r="F153">
            <v>0</v>
          </cell>
          <cell r="G153">
            <v>0</v>
          </cell>
          <cell r="H153">
            <v>5400</v>
          </cell>
          <cell r="I153">
            <v>0</v>
          </cell>
        </row>
        <row r="154">
          <cell r="C154">
            <v>0</v>
          </cell>
          <cell r="D154" t="str">
            <v>C- EQUIPOS: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</row>
        <row r="155">
          <cell r="C155">
            <v>0</v>
          </cell>
          <cell r="D155" t="str">
            <v>Herramientas de Mano</v>
          </cell>
          <cell r="E155" t="str">
            <v>gl</v>
          </cell>
          <cell r="F155">
            <v>162</v>
          </cell>
          <cell r="G155">
            <v>1</v>
          </cell>
          <cell r="H155">
            <v>162</v>
          </cell>
          <cell r="I155">
            <v>0</v>
          </cell>
        </row>
        <row r="156">
          <cell r="C156">
            <v>0</v>
          </cell>
          <cell r="D156" t="str">
            <v>Contenedores</v>
          </cell>
          <cell r="E156" t="str">
            <v>m3</v>
          </cell>
          <cell r="F156">
            <v>180</v>
          </cell>
          <cell r="G156">
            <v>15</v>
          </cell>
          <cell r="H156">
            <v>2700</v>
          </cell>
          <cell r="I156">
            <v>0</v>
          </cell>
        </row>
        <row r="157">
          <cell r="C157">
            <v>0</v>
          </cell>
          <cell r="D157" t="str">
            <v>-</v>
          </cell>
          <cell r="E157" t="str">
            <v>-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</row>
        <row r="158">
          <cell r="C158">
            <v>0</v>
          </cell>
          <cell r="D158" t="str">
            <v>-</v>
          </cell>
          <cell r="E158" t="str">
            <v>-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</row>
        <row r="159">
          <cell r="C159">
            <v>0</v>
          </cell>
          <cell r="D159" t="str">
            <v>-</v>
          </cell>
          <cell r="E159" t="str">
            <v>-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</row>
        <row r="160">
          <cell r="C160">
            <v>0</v>
          </cell>
          <cell r="D160" t="str">
            <v>SUB TOTAL EQUIPOS</v>
          </cell>
          <cell r="E160">
            <v>0</v>
          </cell>
          <cell r="F160">
            <v>0</v>
          </cell>
          <cell r="G160">
            <v>0</v>
          </cell>
          <cell r="H160">
            <v>2862</v>
          </cell>
          <cell r="I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</row>
        <row r="162">
          <cell r="B162">
            <v>3</v>
          </cell>
          <cell r="C162">
            <v>0</v>
          </cell>
          <cell r="D162" t="str">
            <v>COSTO-COSTO</v>
          </cell>
          <cell r="E162">
            <v>0</v>
          </cell>
          <cell r="F162">
            <v>0</v>
          </cell>
          <cell r="G162">
            <v>0</v>
          </cell>
          <cell r="H162">
            <v>8262</v>
          </cell>
          <cell r="I162">
            <v>0</v>
          </cell>
        </row>
        <row r="163">
          <cell r="C163">
            <v>0</v>
          </cell>
          <cell r="D163" t="str">
            <v>GASTO FINANCIERO</v>
          </cell>
          <cell r="E163">
            <v>0</v>
          </cell>
          <cell r="F163">
            <v>0</v>
          </cell>
          <cell r="G163">
            <v>0.02</v>
          </cell>
          <cell r="H163">
            <v>165.24</v>
          </cell>
          <cell r="I163">
            <v>0</v>
          </cell>
        </row>
        <row r="164">
          <cell r="C164">
            <v>0</v>
          </cell>
          <cell r="D164" t="str">
            <v>SUB TOTAL</v>
          </cell>
          <cell r="E164">
            <v>0</v>
          </cell>
          <cell r="F164">
            <v>0</v>
          </cell>
          <cell r="G164">
            <v>0</v>
          </cell>
          <cell r="H164">
            <v>8427.24</v>
          </cell>
          <cell r="I164">
            <v>0</v>
          </cell>
        </row>
        <row r="165">
          <cell r="C165">
            <v>0</v>
          </cell>
          <cell r="D165" t="str">
            <v>GASTOS GENERALES</v>
          </cell>
          <cell r="E165">
            <v>0</v>
          </cell>
          <cell r="F165">
            <v>0</v>
          </cell>
          <cell r="G165">
            <v>0.35116211482007981</v>
          </cell>
          <cell r="H165">
            <v>2959.3274204963691</v>
          </cell>
          <cell r="I165">
            <v>0</v>
          </cell>
        </row>
        <row r="166">
          <cell r="C166">
            <v>0</v>
          </cell>
          <cell r="D166" t="str">
            <v>BENEFICIO</v>
          </cell>
          <cell r="E166">
            <v>0</v>
          </cell>
          <cell r="F166">
            <v>0</v>
          </cell>
          <cell r="G166">
            <v>0.1</v>
          </cell>
          <cell r="H166">
            <v>842.72400000000005</v>
          </cell>
          <cell r="I166">
            <v>0</v>
          </cell>
        </row>
        <row r="167">
          <cell r="C167">
            <v>0</v>
          </cell>
          <cell r="D167" t="str">
            <v>COSTO TOTAL UNITARIO</v>
          </cell>
          <cell r="E167">
            <v>0</v>
          </cell>
          <cell r="F167">
            <v>0</v>
          </cell>
          <cell r="G167">
            <v>0</v>
          </cell>
          <cell r="H167">
            <v>12229.291420496369</v>
          </cell>
          <cell r="I167">
            <v>0</v>
          </cell>
        </row>
        <row r="168">
          <cell r="C168">
            <v>0</v>
          </cell>
          <cell r="D168" t="str">
            <v>IMPUETOS</v>
          </cell>
          <cell r="E168">
            <v>0</v>
          </cell>
          <cell r="F168" t="str">
            <v>IIBB</v>
          </cell>
          <cell r="G168">
            <v>2.4E-2</v>
          </cell>
          <cell r="H168">
            <v>293.50299409191285</v>
          </cell>
          <cell r="I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 t="str">
            <v>IVA</v>
          </cell>
          <cell r="G169">
            <v>0.21</v>
          </cell>
          <cell r="H169">
            <v>2568.1511983042374</v>
          </cell>
          <cell r="I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C171">
            <v>0</v>
          </cell>
          <cell r="D171" t="str">
            <v>PRECIO TOTAL UNITARIO</v>
          </cell>
          <cell r="E171">
            <v>0</v>
          </cell>
          <cell r="F171">
            <v>0</v>
          </cell>
          <cell r="G171">
            <v>0</v>
          </cell>
          <cell r="H171">
            <v>15090.945612892519</v>
          </cell>
          <cell r="I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C174">
            <v>0</v>
          </cell>
          <cell r="D174" t="str">
            <v>Rubro:</v>
          </cell>
          <cell r="E174">
            <v>2</v>
          </cell>
          <cell r="F174" t="str">
            <v>Demoliciones</v>
          </cell>
          <cell r="G174" t="e">
            <v>#NAME?</v>
          </cell>
          <cell r="H174" t="e">
            <v>#NAME?</v>
          </cell>
          <cell r="I174">
            <v>0</v>
          </cell>
        </row>
        <row r="175">
          <cell r="C175">
            <v>0</v>
          </cell>
          <cell r="D175" t="str">
            <v>Sub Rubro:</v>
          </cell>
          <cell r="E175">
            <v>2.2999999999999998</v>
          </cell>
          <cell r="F175" t="str">
            <v>Contrapisos</v>
          </cell>
          <cell r="G175" t="e">
            <v>#NAME?</v>
          </cell>
          <cell r="H175" t="e">
            <v>#NAME?</v>
          </cell>
          <cell r="I175">
            <v>0</v>
          </cell>
        </row>
        <row r="176">
          <cell r="C176">
            <v>0</v>
          </cell>
          <cell r="D176" t="str">
            <v>Ítem:</v>
          </cell>
          <cell r="E176">
            <v>2.2999999999999998</v>
          </cell>
          <cell r="F176" t="str">
            <v>Contrapisos</v>
          </cell>
          <cell r="G176" t="e">
            <v>#NAME?</v>
          </cell>
          <cell r="H176" t="e">
            <v>#NAME?</v>
          </cell>
          <cell r="I176">
            <v>0</v>
          </cell>
        </row>
        <row r="177">
          <cell r="C177">
            <v>0</v>
          </cell>
          <cell r="D177" t="str">
            <v>Unida:</v>
          </cell>
          <cell r="E177" t="str">
            <v>m³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C178">
            <v>0</v>
          </cell>
          <cell r="D178" t="str">
            <v>DENOMINACION</v>
          </cell>
          <cell r="E178" t="str">
            <v>UNIDAD</v>
          </cell>
          <cell r="F178" t="str">
            <v>COSTO UNITARIO</v>
          </cell>
          <cell r="G178" t="str">
            <v>RENDIMIENTO POR UNIDAD</v>
          </cell>
          <cell r="H178" t="str">
            <v>COSTO PARCIAL</v>
          </cell>
          <cell r="I178">
            <v>0</v>
          </cell>
        </row>
        <row r="179">
          <cell r="C179">
            <v>0</v>
          </cell>
          <cell r="D179" t="str">
            <v>A- MATERIALES: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C180">
            <v>0</v>
          </cell>
          <cell r="D180">
            <v>0</v>
          </cell>
          <cell r="E180" t="str">
            <v>-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</row>
        <row r="181">
          <cell r="C181">
            <v>0</v>
          </cell>
          <cell r="D181">
            <v>0</v>
          </cell>
          <cell r="E181" t="str">
            <v>-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</row>
        <row r="182">
          <cell r="C182">
            <v>0</v>
          </cell>
          <cell r="D182">
            <v>0</v>
          </cell>
          <cell r="E182" t="str">
            <v>-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</row>
        <row r="183">
          <cell r="C183">
            <v>0</v>
          </cell>
          <cell r="D183">
            <v>0</v>
          </cell>
          <cell r="E183" t="str">
            <v>-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C184">
            <v>0</v>
          </cell>
          <cell r="D184">
            <v>0</v>
          </cell>
          <cell r="E184" t="str">
            <v>-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</row>
        <row r="185">
          <cell r="C185">
            <v>0</v>
          </cell>
          <cell r="D185">
            <v>0</v>
          </cell>
          <cell r="E185" t="str">
            <v>-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C186">
            <v>0</v>
          </cell>
          <cell r="D186">
            <v>0</v>
          </cell>
          <cell r="E186" t="str">
            <v>-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</row>
        <row r="187">
          <cell r="C187">
            <v>0</v>
          </cell>
          <cell r="D187">
            <v>0</v>
          </cell>
          <cell r="E187" t="str">
            <v>-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C188">
            <v>0</v>
          </cell>
          <cell r="D188">
            <v>0</v>
          </cell>
          <cell r="E188" t="str">
            <v>-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</row>
        <row r="189">
          <cell r="C189">
            <v>0</v>
          </cell>
          <cell r="D189">
            <v>0</v>
          </cell>
          <cell r="E189" t="str">
            <v>-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</row>
        <row r="190">
          <cell r="C190">
            <v>0</v>
          </cell>
          <cell r="D190">
            <v>0</v>
          </cell>
          <cell r="E190" t="str">
            <v>-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C191">
            <v>0</v>
          </cell>
          <cell r="D191">
            <v>0</v>
          </cell>
          <cell r="E191" t="str">
            <v>-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</row>
        <row r="192">
          <cell r="C192">
            <v>0</v>
          </cell>
          <cell r="D192">
            <v>0</v>
          </cell>
          <cell r="E192" t="str">
            <v>-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</row>
        <row r="193">
          <cell r="C193">
            <v>0</v>
          </cell>
          <cell r="D193">
            <v>0</v>
          </cell>
          <cell r="E193" t="str">
            <v>-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C194">
            <v>0</v>
          </cell>
          <cell r="D194">
            <v>0</v>
          </cell>
          <cell r="E194" t="str">
            <v>-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C195">
            <v>0</v>
          </cell>
          <cell r="D195">
            <v>0</v>
          </cell>
          <cell r="E195" t="str">
            <v>-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</row>
        <row r="196">
          <cell r="C196">
            <v>0</v>
          </cell>
          <cell r="D196">
            <v>0</v>
          </cell>
          <cell r="E196" t="str">
            <v>-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C197">
            <v>0</v>
          </cell>
          <cell r="D197">
            <v>0</v>
          </cell>
          <cell r="E197" t="str">
            <v>-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</row>
        <row r="198">
          <cell r="C198">
            <v>0</v>
          </cell>
          <cell r="D198">
            <v>0</v>
          </cell>
          <cell r="E198" t="str">
            <v>-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</row>
        <row r="199">
          <cell r="C199">
            <v>0</v>
          </cell>
          <cell r="D199">
            <v>0</v>
          </cell>
          <cell r="E199" t="str">
            <v>-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</row>
        <row r="200">
          <cell r="C200">
            <v>0</v>
          </cell>
          <cell r="D200" t="str">
            <v>SUB TOTAL MATERIALES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</row>
        <row r="201">
          <cell r="C201">
            <v>0</v>
          </cell>
          <cell r="D201" t="str">
            <v>B- MANO DE OBRA: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C202">
            <v>0</v>
          </cell>
          <cell r="D202" t="str">
            <v>Oficial</v>
          </cell>
          <cell r="E202" t="str">
            <v>hs</v>
          </cell>
          <cell r="F202">
            <v>56.619016000000002</v>
          </cell>
          <cell r="G202">
            <v>2</v>
          </cell>
          <cell r="H202">
            <v>113.238032</v>
          </cell>
          <cell r="I202">
            <v>0</v>
          </cell>
        </row>
        <row r="203">
          <cell r="C203">
            <v>0</v>
          </cell>
          <cell r="D203" t="str">
            <v>Ayudante</v>
          </cell>
          <cell r="E203" t="str">
            <v>hs</v>
          </cell>
          <cell r="F203">
            <v>48.396512000000008</v>
          </cell>
          <cell r="G203">
            <v>1.3794789178195308</v>
          </cell>
          <cell r="H203">
            <v>66.761967999999953</v>
          </cell>
          <cell r="I203">
            <v>0</v>
          </cell>
        </row>
        <row r="204">
          <cell r="C204">
            <v>0</v>
          </cell>
          <cell r="D204" t="str">
            <v>-</v>
          </cell>
          <cell r="E204" t="str">
            <v>-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</row>
        <row r="205">
          <cell r="C205">
            <v>0</v>
          </cell>
          <cell r="D205" t="str">
            <v>-</v>
          </cell>
          <cell r="E205" t="str">
            <v>-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</row>
        <row r="206">
          <cell r="C206">
            <v>0</v>
          </cell>
          <cell r="D206" t="str">
            <v>-</v>
          </cell>
          <cell r="E206" t="str">
            <v>-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</row>
        <row r="207">
          <cell r="C207">
            <v>0</v>
          </cell>
          <cell r="D207" t="str">
            <v>SUB TOTAL MANO DE OBRA</v>
          </cell>
          <cell r="E207">
            <v>0</v>
          </cell>
          <cell r="F207">
            <v>0</v>
          </cell>
          <cell r="G207">
            <v>0</v>
          </cell>
          <cell r="H207">
            <v>179.99999999999994</v>
          </cell>
          <cell r="I207">
            <v>0</v>
          </cell>
        </row>
        <row r="208">
          <cell r="C208">
            <v>0</v>
          </cell>
          <cell r="D208" t="str">
            <v>C- EQUIPOS: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</row>
        <row r="209">
          <cell r="C209">
            <v>0</v>
          </cell>
          <cell r="D209" t="str">
            <v>Herramientas de Mano</v>
          </cell>
          <cell r="E209" t="str">
            <v>gl</v>
          </cell>
          <cell r="F209">
            <v>5.3999999999999977</v>
          </cell>
          <cell r="G209">
            <v>1</v>
          </cell>
          <cell r="H209">
            <v>5.3999999999999977</v>
          </cell>
          <cell r="I209">
            <v>0</v>
          </cell>
        </row>
        <row r="210">
          <cell r="C210">
            <v>0</v>
          </cell>
          <cell r="D210" t="str">
            <v>Martillo Demoledor</v>
          </cell>
          <cell r="E210" t="str">
            <v>hs</v>
          </cell>
          <cell r="F210">
            <v>100</v>
          </cell>
          <cell r="G210">
            <v>0.2</v>
          </cell>
          <cell r="H210">
            <v>20</v>
          </cell>
          <cell r="I210">
            <v>0</v>
          </cell>
        </row>
        <row r="211">
          <cell r="C211">
            <v>0</v>
          </cell>
          <cell r="D211" t="str">
            <v>Contenedores</v>
          </cell>
          <cell r="E211" t="str">
            <v>m3</v>
          </cell>
          <cell r="F211">
            <v>180</v>
          </cell>
          <cell r="G211">
            <v>1</v>
          </cell>
          <cell r="H211">
            <v>180</v>
          </cell>
          <cell r="I211">
            <v>0</v>
          </cell>
        </row>
        <row r="212">
          <cell r="C212">
            <v>0</v>
          </cell>
          <cell r="D212" t="str">
            <v>-</v>
          </cell>
          <cell r="E212" t="str">
            <v>-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</row>
        <row r="213">
          <cell r="C213">
            <v>0</v>
          </cell>
          <cell r="D213" t="str">
            <v>-</v>
          </cell>
          <cell r="E213" t="str">
            <v>-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</row>
        <row r="214">
          <cell r="C214">
            <v>0</v>
          </cell>
          <cell r="D214" t="str">
            <v>SUB TOTAL EQUIPOS</v>
          </cell>
          <cell r="E214">
            <v>0</v>
          </cell>
          <cell r="F214">
            <v>0</v>
          </cell>
          <cell r="G214">
            <v>0</v>
          </cell>
          <cell r="H214">
            <v>205.4</v>
          </cell>
          <cell r="I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</row>
        <row r="216">
          <cell r="B216">
            <v>4</v>
          </cell>
          <cell r="C216">
            <v>0</v>
          </cell>
          <cell r="D216" t="str">
            <v>COSTO-COSTO</v>
          </cell>
          <cell r="E216">
            <v>0</v>
          </cell>
          <cell r="F216">
            <v>0</v>
          </cell>
          <cell r="G216">
            <v>0</v>
          </cell>
          <cell r="H216">
            <v>385.4</v>
          </cell>
          <cell r="I216">
            <v>0</v>
          </cell>
        </row>
        <row r="217">
          <cell r="C217">
            <v>0</v>
          </cell>
          <cell r="D217" t="str">
            <v>GASTO FINANCIERO</v>
          </cell>
          <cell r="E217">
            <v>0</v>
          </cell>
          <cell r="F217">
            <v>0</v>
          </cell>
          <cell r="G217">
            <v>0.02</v>
          </cell>
          <cell r="H217">
            <v>7.7079999999999993</v>
          </cell>
          <cell r="I217">
            <v>0</v>
          </cell>
        </row>
        <row r="218">
          <cell r="C218">
            <v>0</v>
          </cell>
          <cell r="D218" t="str">
            <v>SUB TOTAL</v>
          </cell>
          <cell r="E218">
            <v>0</v>
          </cell>
          <cell r="F218">
            <v>0</v>
          </cell>
          <cell r="G218">
            <v>0</v>
          </cell>
          <cell r="H218">
            <v>393.108</v>
          </cell>
          <cell r="I218">
            <v>0</v>
          </cell>
        </row>
        <row r="219">
          <cell r="C219">
            <v>0</v>
          </cell>
          <cell r="D219" t="str">
            <v>GASTOS GENERALES</v>
          </cell>
          <cell r="E219">
            <v>0</v>
          </cell>
          <cell r="F219">
            <v>0</v>
          </cell>
          <cell r="G219">
            <v>0.35116211482007981</v>
          </cell>
          <cell r="H219">
            <v>138.04463663269195</v>
          </cell>
          <cell r="I219">
            <v>0</v>
          </cell>
        </row>
        <row r="220">
          <cell r="C220">
            <v>0</v>
          </cell>
          <cell r="D220" t="str">
            <v>BENEFICIO</v>
          </cell>
          <cell r="E220">
            <v>0</v>
          </cell>
          <cell r="F220">
            <v>0</v>
          </cell>
          <cell r="G220">
            <v>0.1</v>
          </cell>
          <cell r="H220">
            <v>39.3108</v>
          </cell>
          <cell r="I220">
            <v>0</v>
          </cell>
        </row>
        <row r="221">
          <cell r="C221">
            <v>0</v>
          </cell>
          <cell r="D221" t="str">
            <v>COSTO TOTAL UNITARIO</v>
          </cell>
          <cell r="E221">
            <v>0</v>
          </cell>
          <cell r="F221">
            <v>0</v>
          </cell>
          <cell r="G221">
            <v>0</v>
          </cell>
          <cell r="H221">
            <v>570.46343663269192</v>
          </cell>
          <cell r="I221">
            <v>0</v>
          </cell>
        </row>
        <row r="222">
          <cell r="C222">
            <v>0</v>
          </cell>
          <cell r="D222" t="str">
            <v>IMPUETOS</v>
          </cell>
          <cell r="E222">
            <v>0</v>
          </cell>
          <cell r="F222" t="str">
            <v>IIBB</v>
          </cell>
          <cell r="G222">
            <v>2.4E-2</v>
          </cell>
          <cell r="H222">
            <v>13.691122479184607</v>
          </cell>
          <cell r="I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 t="str">
            <v>IVA</v>
          </cell>
          <cell r="G223">
            <v>0.21</v>
          </cell>
          <cell r="H223">
            <v>119.7973216928653</v>
          </cell>
          <cell r="I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</row>
        <row r="225">
          <cell r="C225">
            <v>0</v>
          </cell>
          <cell r="D225" t="str">
            <v>PRECIO TOTAL UNITARIO</v>
          </cell>
          <cell r="E225">
            <v>0</v>
          </cell>
          <cell r="F225">
            <v>0</v>
          </cell>
          <cell r="G225">
            <v>0</v>
          </cell>
          <cell r="H225">
            <v>703.9518808047419</v>
          </cell>
          <cell r="I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C228">
            <v>0</v>
          </cell>
          <cell r="D228" t="str">
            <v>Rubro:</v>
          </cell>
          <cell r="E228">
            <v>2</v>
          </cell>
          <cell r="F228" t="str">
            <v>Demoliciones</v>
          </cell>
          <cell r="G228" t="e">
            <v>#NAME?</v>
          </cell>
          <cell r="H228" t="e">
            <v>#NAME?</v>
          </cell>
          <cell r="I228">
            <v>0</v>
          </cell>
        </row>
        <row r="229">
          <cell r="C229">
            <v>0</v>
          </cell>
          <cell r="D229" t="str">
            <v>Sub Rubro:</v>
          </cell>
          <cell r="E229">
            <v>2.4</v>
          </cell>
          <cell r="F229" t="str">
            <v>Desarme Muebles Madera</v>
          </cell>
          <cell r="G229" t="e">
            <v>#NAME?</v>
          </cell>
          <cell r="H229" t="e">
            <v>#NAME?</v>
          </cell>
          <cell r="I229">
            <v>0</v>
          </cell>
        </row>
        <row r="230">
          <cell r="C230">
            <v>0</v>
          </cell>
          <cell r="D230" t="str">
            <v>Ítem:</v>
          </cell>
          <cell r="E230">
            <v>2.4</v>
          </cell>
          <cell r="F230" t="str">
            <v>Desarme Muebles Madera</v>
          </cell>
          <cell r="G230" t="e">
            <v>#NAME?</v>
          </cell>
          <cell r="H230" t="e">
            <v>#NAME?</v>
          </cell>
          <cell r="I230">
            <v>0</v>
          </cell>
        </row>
        <row r="231">
          <cell r="C231">
            <v>0</v>
          </cell>
          <cell r="D231" t="str">
            <v>Unida:</v>
          </cell>
          <cell r="E231" t="str">
            <v>gl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</row>
        <row r="232">
          <cell r="C232">
            <v>0</v>
          </cell>
          <cell r="D232" t="str">
            <v>DENOMINACION</v>
          </cell>
          <cell r="E232" t="str">
            <v>UNIDAD</v>
          </cell>
          <cell r="F232" t="str">
            <v>COSTO UNITARIO</v>
          </cell>
          <cell r="G232" t="str">
            <v>RENDIMIENTO POR UNIDAD</v>
          </cell>
          <cell r="H232" t="str">
            <v>COSTO PARCIAL</v>
          </cell>
          <cell r="I232">
            <v>0</v>
          </cell>
        </row>
        <row r="233">
          <cell r="C233">
            <v>0</v>
          </cell>
          <cell r="D233" t="str">
            <v>A- MATERIALES: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</row>
        <row r="234">
          <cell r="C234">
            <v>0</v>
          </cell>
          <cell r="D234">
            <v>0</v>
          </cell>
          <cell r="E234" t="str">
            <v>-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</row>
        <row r="235">
          <cell r="C235">
            <v>0</v>
          </cell>
          <cell r="D235">
            <v>0</v>
          </cell>
          <cell r="E235" t="str">
            <v>-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</row>
        <row r="236">
          <cell r="C236">
            <v>0</v>
          </cell>
          <cell r="D236">
            <v>0</v>
          </cell>
          <cell r="E236" t="str">
            <v>-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</row>
        <row r="237">
          <cell r="C237">
            <v>0</v>
          </cell>
          <cell r="D237">
            <v>0</v>
          </cell>
          <cell r="E237" t="str">
            <v>-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</row>
        <row r="238">
          <cell r="C238">
            <v>0</v>
          </cell>
          <cell r="D238">
            <v>0</v>
          </cell>
          <cell r="E238" t="str">
            <v>-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</row>
        <row r="239">
          <cell r="C239">
            <v>0</v>
          </cell>
          <cell r="D239">
            <v>0</v>
          </cell>
          <cell r="E239" t="str">
            <v>-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</row>
        <row r="240">
          <cell r="C240">
            <v>0</v>
          </cell>
          <cell r="D240">
            <v>0</v>
          </cell>
          <cell r="E240" t="str">
            <v>-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</row>
        <row r="241">
          <cell r="C241">
            <v>0</v>
          </cell>
          <cell r="D241">
            <v>0</v>
          </cell>
          <cell r="E241" t="str">
            <v>-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</row>
        <row r="242">
          <cell r="C242">
            <v>0</v>
          </cell>
          <cell r="D242">
            <v>0</v>
          </cell>
          <cell r="E242" t="str">
            <v>-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</row>
        <row r="243">
          <cell r="C243">
            <v>0</v>
          </cell>
          <cell r="D243">
            <v>0</v>
          </cell>
          <cell r="E243" t="str">
            <v>-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</row>
        <row r="244">
          <cell r="C244">
            <v>0</v>
          </cell>
          <cell r="D244">
            <v>0</v>
          </cell>
          <cell r="E244" t="str">
            <v>-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</row>
        <row r="245">
          <cell r="C245">
            <v>0</v>
          </cell>
          <cell r="D245">
            <v>0</v>
          </cell>
          <cell r="E245" t="str">
            <v>-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</row>
        <row r="246">
          <cell r="C246">
            <v>0</v>
          </cell>
          <cell r="D246">
            <v>0</v>
          </cell>
          <cell r="E246" t="str">
            <v>-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</row>
        <row r="247">
          <cell r="C247">
            <v>0</v>
          </cell>
          <cell r="D247">
            <v>0</v>
          </cell>
          <cell r="E247" t="str">
            <v>-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</row>
        <row r="248">
          <cell r="C248">
            <v>0</v>
          </cell>
          <cell r="D248">
            <v>0</v>
          </cell>
          <cell r="E248" t="str">
            <v>-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</row>
        <row r="249">
          <cell r="C249">
            <v>0</v>
          </cell>
          <cell r="D249">
            <v>0</v>
          </cell>
          <cell r="E249" t="str">
            <v>-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</row>
        <row r="250">
          <cell r="C250">
            <v>0</v>
          </cell>
          <cell r="D250">
            <v>0</v>
          </cell>
          <cell r="E250" t="str">
            <v>-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</row>
        <row r="251">
          <cell r="C251">
            <v>0</v>
          </cell>
          <cell r="D251">
            <v>0</v>
          </cell>
          <cell r="E251" t="str">
            <v>-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</row>
        <row r="252">
          <cell r="C252">
            <v>0</v>
          </cell>
          <cell r="D252">
            <v>0</v>
          </cell>
          <cell r="E252" t="str">
            <v>-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</row>
        <row r="253">
          <cell r="C253">
            <v>0</v>
          </cell>
          <cell r="D253">
            <v>0</v>
          </cell>
          <cell r="E253" t="str">
            <v>-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C254">
            <v>0</v>
          </cell>
          <cell r="D254" t="str">
            <v>SUB TOTAL MATERIALES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</row>
        <row r="255">
          <cell r="C255">
            <v>0</v>
          </cell>
          <cell r="D255" t="str">
            <v>B- MANO DE OBRA: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C256">
            <v>0</v>
          </cell>
          <cell r="D256" t="str">
            <v>Oficial</v>
          </cell>
          <cell r="E256" t="str">
            <v>hs</v>
          </cell>
          <cell r="F256">
            <v>56.619016000000002</v>
          </cell>
          <cell r="G256">
            <v>60</v>
          </cell>
          <cell r="H256">
            <v>3397.1409600000002</v>
          </cell>
          <cell r="I256">
            <v>0</v>
          </cell>
        </row>
        <row r="257">
          <cell r="C257">
            <v>0</v>
          </cell>
          <cell r="D257" t="str">
            <v>Ayudante</v>
          </cell>
          <cell r="E257" t="str">
            <v>hs</v>
          </cell>
          <cell r="F257">
            <v>48.396512000000008</v>
          </cell>
          <cell r="G257">
            <v>22.787986043291692</v>
          </cell>
          <cell r="H257">
            <v>1102.8590399999991</v>
          </cell>
          <cell r="I257">
            <v>0</v>
          </cell>
        </row>
        <row r="258">
          <cell r="C258">
            <v>0</v>
          </cell>
          <cell r="D258" t="str">
            <v>-</v>
          </cell>
          <cell r="E258" t="str">
            <v>-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</row>
        <row r="259">
          <cell r="C259">
            <v>0</v>
          </cell>
          <cell r="D259" t="str">
            <v>-</v>
          </cell>
          <cell r="E259" t="str">
            <v>-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C260">
            <v>0</v>
          </cell>
          <cell r="D260" t="str">
            <v>-</v>
          </cell>
          <cell r="E260" t="str">
            <v>-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</row>
        <row r="261">
          <cell r="C261">
            <v>0</v>
          </cell>
          <cell r="D261" t="str">
            <v>SUB TOTAL MANO DE OBRA</v>
          </cell>
          <cell r="E261">
            <v>0</v>
          </cell>
          <cell r="F261">
            <v>0</v>
          </cell>
          <cell r="G261">
            <v>0</v>
          </cell>
          <cell r="H261">
            <v>4499.9999999999991</v>
          </cell>
          <cell r="I261">
            <v>0</v>
          </cell>
        </row>
        <row r="262">
          <cell r="C262">
            <v>0</v>
          </cell>
          <cell r="D262" t="str">
            <v>C- EQUIPOS: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</row>
        <row r="263">
          <cell r="C263">
            <v>0</v>
          </cell>
          <cell r="D263" t="str">
            <v>Herramientas de Mano</v>
          </cell>
          <cell r="E263" t="str">
            <v>gl</v>
          </cell>
          <cell r="F263">
            <v>134.99999999999997</v>
          </cell>
          <cell r="G263">
            <v>1</v>
          </cell>
          <cell r="H263">
            <v>134.99999999999997</v>
          </cell>
          <cell r="I263">
            <v>0</v>
          </cell>
        </row>
        <row r="264">
          <cell r="C264">
            <v>0</v>
          </cell>
          <cell r="D264" t="str">
            <v>-</v>
          </cell>
          <cell r="E264" t="str">
            <v>-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</row>
        <row r="265">
          <cell r="C265">
            <v>0</v>
          </cell>
          <cell r="D265" t="str">
            <v>-</v>
          </cell>
          <cell r="E265" t="str">
            <v>-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</row>
        <row r="266">
          <cell r="C266">
            <v>0</v>
          </cell>
          <cell r="D266" t="str">
            <v>-</v>
          </cell>
          <cell r="E266" t="str">
            <v>-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</row>
        <row r="267">
          <cell r="C267">
            <v>0</v>
          </cell>
          <cell r="D267" t="str">
            <v>-</v>
          </cell>
          <cell r="E267" t="str">
            <v>-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</row>
        <row r="268">
          <cell r="C268">
            <v>0</v>
          </cell>
          <cell r="D268" t="str">
            <v>SUB TOTAL EQUIPOS</v>
          </cell>
          <cell r="E268">
            <v>0</v>
          </cell>
          <cell r="F268">
            <v>0</v>
          </cell>
          <cell r="G268">
            <v>0</v>
          </cell>
          <cell r="H268">
            <v>134.99999999999997</v>
          </cell>
          <cell r="I268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</row>
        <row r="270">
          <cell r="B270">
            <v>5</v>
          </cell>
          <cell r="C270">
            <v>0</v>
          </cell>
          <cell r="D270" t="str">
            <v>COSTO-COSTO</v>
          </cell>
          <cell r="E270">
            <v>0</v>
          </cell>
          <cell r="F270">
            <v>0</v>
          </cell>
          <cell r="G270">
            <v>0</v>
          </cell>
          <cell r="H270">
            <v>4634.9999999999991</v>
          </cell>
          <cell r="I270">
            <v>0</v>
          </cell>
        </row>
        <row r="271">
          <cell r="C271">
            <v>0</v>
          </cell>
          <cell r="D271" t="str">
            <v>GASTO FINANCIERO</v>
          </cell>
          <cell r="E271">
            <v>0</v>
          </cell>
          <cell r="F271">
            <v>0</v>
          </cell>
          <cell r="G271">
            <v>0.02</v>
          </cell>
          <cell r="H271">
            <v>92.699999999999989</v>
          </cell>
          <cell r="I271">
            <v>0</v>
          </cell>
        </row>
        <row r="272">
          <cell r="C272">
            <v>0</v>
          </cell>
          <cell r="D272" t="str">
            <v>SUB TOTAL</v>
          </cell>
          <cell r="E272">
            <v>0</v>
          </cell>
          <cell r="F272">
            <v>0</v>
          </cell>
          <cell r="G272">
            <v>0</v>
          </cell>
          <cell r="H272">
            <v>4727.6999999999989</v>
          </cell>
          <cell r="I272">
            <v>0</v>
          </cell>
        </row>
        <row r="273">
          <cell r="C273">
            <v>0</v>
          </cell>
          <cell r="D273" t="str">
            <v>GASTOS GENERALES</v>
          </cell>
          <cell r="E273">
            <v>0</v>
          </cell>
          <cell r="F273">
            <v>0</v>
          </cell>
          <cell r="G273">
            <v>0.35116211482007981</v>
          </cell>
          <cell r="H273">
            <v>1660.1891302348909</v>
          </cell>
          <cell r="I273">
            <v>0</v>
          </cell>
        </row>
        <row r="274">
          <cell r="C274">
            <v>0</v>
          </cell>
          <cell r="D274" t="str">
            <v>BENEFICIO</v>
          </cell>
          <cell r="E274">
            <v>0</v>
          </cell>
          <cell r="F274">
            <v>0</v>
          </cell>
          <cell r="G274">
            <v>0.1</v>
          </cell>
          <cell r="H274">
            <v>472.76999999999992</v>
          </cell>
          <cell r="I274">
            <v>0</v>
          </cell>
        </row>
        <row r="275">
          <cell r="C275">
            <v>0</v>
          </cell>
          <cell r="D275" t="str">
            <v>COSTO TOTAL UNITARIO</v>
          </cell>
          <cell r="E275">
            <v>0</v>
          </cell>
          <cell r="F275">
            <v>0</v>
          </cell>
          <cell r="G275">
            <v>0</v>
          </cell>
          <cell r="H275">
            <v>6860.6591302348888</v>
          </cell>
          <cell r="I275">
            <v>0</v>
          </cell>
        </row>
        <row r="276">
          <cell r="C276">
            <v>0</v>
          </cell>
          <cell r="D276" t="str">
            <v>IMPUETOS</v>
          </cell>
          <cell r="E276">
            <v>0</v>
          </cell>
          <cell r="F276" t="str">
            <v>IIBB</v>
          </cell>
          <cell r="G276">
            <v>2.4E-2</v>
          </cell>
          <cell r="H276">
            <v>164.65581912563732</v>
          </cell>
          <cell r="I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F277" t="str">
            <v>IVA</v>
          </cell>
          <cell r="G277">
            <v>0.21</v>
          </cell>
          <cell r="H277">
            <v>1440.7384173493267</v>
          </cell>
          <cell r="I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C279">
            <v>0</v>
          </cell>
          <cell r="D279" t="str">
            <v>PRECIO TOTAL UNITARIO</v>
          </cell>
          <cell r="E279">
            <v>0</v>
          </cell>
          <cell r="F279">
            <v>0</v>
          </cell>
          <cell r="G279">
            <v>0</v>
          </cell>
          <cell r="H279">
            <v>8466.0533667098534</v>
          </cell>
          <cell r="I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</row>
        <row r="282">
          <cell r="C282">
            <v>0</v>
          </cell>
          <cell r="D282" t="str">
            <v>Rubro:</v>
          </cell>
          <cell r="E282">
            <v>3</v>
          </cell>
          <cell r="F282" t="str">
            <v>Albañilería</v>
          </cell>
          <cell r="G282" t="e">
            <v>#NAME?</v>
          </cell>
          <cell r="H282" t="e">
            <v>#NAME?</v>
          </cell>
          <cell r="I282">
            <v>0</v>
          </cell>
        </row>
        <row r="283">
          <cell r="C283">
            <v>0</v>
          </cell>
          <cell r="D283" t="str">
            <v>Sub Rubro:</v>
          </cell>
          <cell r="E283">
            <v>3.1</v>
          </cell>
          <cell r="F283" t="str">
            <v>Revoque</v>
          </cell>
          <cell r="G283" t="e">
            <v>#NAME?</v>
          </cell>
          <cell r="H283" t="e">
            <v>#NAME?</v>
          </cell>
          <cell r="I283">
            <v>0</v>
          </cell>
        </row>
        <row r="284">
          <cell r="C284">
            <v>0</v>
          </cell>
          <cell r="D284" t="str">
            <v>Ítem:</v>
          </cell>
          <cell r="E284">
            <v>3.1</v>
          </cell>
          <cell r="F284" t="str">
            <v>Revoque</v>
          </cell>
          <cell r="G284" t="e">
            <v>#NAME?</v>
          </cell>
          <cell r="H284" t="e">
            <v>#NAME?</v>
          </cell>
          <cell r="I284">
            <v>0</v>
          </cell>
        </row>
        <row r="285">
          <cell r="C285">
            <v>0</v>
          </cell>
          <cell r="D285" t="str">
            <v>Unida:</v>
          </cell>
          <cell r="E285" t="str">
            <v>m²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</row>
        <row r="286">
          <cell r="C286">
            <v>0</v>
          </cell>
          <cell r="D286" t="str">
            <v>DENOMINACION</v>
          </cell>
          <cell r="E286" t="str">
            <v>UNIDAD</v>
          </cell>
          <cell r="F286" t="str">
            <v>COSTO UNITARIO</v>
          </cell>
          <cell r="G286" t="str">
            <v>RENDIMIENTO POR UNIDAD</v>
          </cell>
          <cell r="H286" t="str">
            <v>COSTO PARCIAL</v>
          </cell>
          <cell r="I286">
            <v>0</v>
          </cell>
        </row>
        <row r="287">
          <cell r="C287">
            <v>0</v>
          </cell>
          <cell r="D287" t="str">
            <v>A- MATERIALES: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</row>
        <row r="288">
          <cell r="C288">
            <v>0</v>
          </cell>
          <cell r="D288" t="str">
            <v>Cemento Normal</v>
          </cell>
          <cell r="E288" t="str">
            <v>kg</v>
          </cell>
          <cell r="F288">
            <v>1.35</v>
          </cell>
          <cell r="G288">
            <v>1.3</v>
          </cell>
          <cell r="H288">
            <v>1.7550000000000001</v>
          </cell>
          <cell r="I288">
            <v>0</v>
          </cell>
        </row>
        <row r="289">
          <cell r="C289">
            <v>0</v>
          </cell>
          <cell r="D289" t="str">
            <v>Cemento de Albañileria</v>
          </cell>
          <cell r="E289" t="str">
            <v>kg</v>
          </cell>
          <cell r="F289">
            <v>0.96</v>
          </cell>
          <cell r="G289">
            <v>8.5</v>
          </cell>
          <cell r="H289">
            <v>8.16</v>
          </cell>
          <cell r="I289">
            <v>0</v>
          </cell>
        </row>
        <row r="290">
          <cell r="C290">
            <v>0</v>
          </cell>
          <cell r="D290" t="str">
            <v>Arena Mediana</v>
          </cell>
          <cell r="E290" t="str">
            <v>m³</v>
          </cell>
          <cell r="F290">
            <v>100</v>
          </cell>
          <cell r="G290">
            <v>0.03</v>
          </cell>
          <cell r="H290">
            <v>3</v>
          </cell>
          <cell r="I290">
            <v>0</v>
          </cell>
        </row>
        <row r="291">
          <cell r="C291">
            <v>0</v>
          </cell>
          <cell r="D291" t="str">
            <v>Cal</v>
          </cell>
          <cell r="E291" t="str">
            <v>kg</v>
          </cell>
          <cell r="F291">
            <v>0.52499999999999991</v>
          </cell>
          <cell r="G291">
            <v>0.05</v>
          </cell>
          <cell r="H291">
            <v>2.6249999999999996E-2</v>
          </cell>
          <cell r="I291">
            <v>0</v>
          </cell>
        </row>
        <row r="292">
          <cell r="C292">
            <v>0</v>
          </cell>
          <cell r="D292">
            <v>0</v>
          </cell>
          <cell r="E292" t="str">
            <v>-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</row>
        <row r="293">
          <cell r="C293">
            <v>0</v>
          </cell>
          <cell r="D293">
            <v>0</v>
          </cell>
          <cell r="E293" t="str">
            <v>-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</row>
        <row r="294">
          <cell r="C294">
            <v>0</v>
          </cell>
          <cell r="D294">
            <v>0</v>
          </cell>
          <cell r="E294" t="str">
            <v>-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</row>
        <row r="295">
          <cell r="C295">
            <v>0</v>
          </cell>
          <cell r="D295">
            <v>0</v>
          </cell>
          <cell r="E295" t="str">
            <v>-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C296">
            <v>0</v>
          </cell>
          <cell r="D296">
            <v>0</v>
          </cell>
          <cell r="E296" t="str">
            <v>-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C297">
            <v>0</v>
          </cell>
          <cell r="D297">
            <v>0</v>
          </cell>
          <cell r="E297" t="str">
            <v>-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C298">
            <v>0</v>
          </cell>
          <cell r="D298">
            <v>0</v>
          </cell>
          <cell r="E298" t="str">
            <v>-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C299">
            <v>0</v>
          </cell>
          <cell r="D299">
            <v>0</v>
          </cell>
          <cell r="E299" t="str">
            <v>-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C300">
            <v>0</v>
          </cell>
          <cell r="D300">
            <v>0</v>
          </cell>
          <cell r="E300" t="str">
            <v>-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C301">
            <v>0</v>
          </cell>
          <cell r="D301">
            <v>0</v>
          </cell>
          <cell r="E301" t="str">
            <v>-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</row>
        <row r="302">
          <cell r="C302">
            <v>0</v>
          </cell>
          <cell r="D302">
            <v>0</v>
          </cell>
          <cell r="E302" t="str">
            <v>-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</row>
        <row r="303">
          <cell r="C303">
            <v>0</v>
          </cell>
          <cell r="D303">
            <v>0</v>
          </cell>
          <cell r="E303" t="str">
            <v>-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</row>
        <row r="304">
          <cell r="C304">
            <v>0</v>
          </cell>
          <cell r="D304">
            <v>0</v>
          </cell>
          <cell r="E304" t="str">
            <v>-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</row>
        <row r="305">
          <cell r="C305">
            <v>0</v>
          </cell>
          <cell r="D305">
            <v>0</v>
          </cell>
          <cell r="E305" t="str">
            <v>-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</row>
        <row r="306">
          <cell r="C306">
            <v>0</v>
          </cell>
          <cell r="D306">
            <v>0</v>
          </cell>
          <cell r="E306" t="str">
            <v>-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</row>
        <row r="307">
          <cell r="C307">
            <v>0</v>
          </cell>
          <cell r="D307">
            <v>0</v>
          </cell>
          <cell r="E307" t="str">
            <v>-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</row>
        <row r="308">
          <cell r="C308">
            <v>0</v>
          </cell>
          <cell r="D308" t="str">
            <v>SUB TOTAL MATERIALES</v>
          </cell>
          <cell r="E308">
            <v>0</v>
          </cell>
          <cell r="F308">
            <v>0</v>
          </cell>
          <cell r="G308">
            <v>0</v>
          </cell>
          <cell r="H308">
            <v>12.94125</v>
          </cell>
          <cell r="I308">
            <v>0</v>
          </cell>
        </row>
        <row r="309">
          <cell r="C309">
            <v>0</v>
          </cell>
          <cell r="D309" t="str">
            <v>B- MANO DE OBRA: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</row>
        <row r="310">
          <cell r="C310">
            <v>0</v>
          </cell>
          <cell r="D310" t="str">
            <v>Oficial</v>
          </cell>
          <cell r="E310" t="str">
            <v>hs</v>
          </cell>
          <cell r="F310">
            <v>56.619016000000002</v>
          </cell>
          <cell r="G310">
            <v>0.7</v>
          </cell>
          <cell r="H310">
            <v>39.633311200000001</v>
          </cell>
          <cell r="I310">
            <v>0</v>
          </cell>
        </row>
        <row r="311">
          <cell r="C311">
            <v>0</v>
          </cell>
          <cell r="D311" t="str">
            <v>Ayudante</v>
          </cell>
          <cell r="E311" t="str">
            <v>hs</v>
          </cell>
          <cell r="F311">
            <v>48.396512000000008</v>
          </cell>
          <cell r="G311">
            <v>0.33</v>
          </cell>
          <cell r="H311">
            <v>15.970848960000003</v>
          </cell>
          <cell r="I311">
            <v>0</v>
          </cell>
        </row>
        <row r="312">
          <cell r="C312">
            <v>0</v>
          </cell>
          <cell r="D312" t="str">
            <v>-</v>
          </cell>
          <cell r="E312" t="str">
            <v>-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</row>
        <row r="313">
          <cell r="C313">
            <v>0</v>
          </cell>
          <cell r="D313" t="str">
            <v>-</v>
          </cell>
          <cell r="E313" t="str">
            <v>-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</row>
        <row r="314">
          <cell r="C314">
            <v>0</v>
          </cell>
          <cell r="D314" t="str">
            <v>-</v>
          </cell>
          <cell r="E314" t="str">
            <v>-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</row>
        <row r="315">
          <cell r="C315">
            <v>0</v>
          </cell>
          <cell r="D315" t="str">
            <v>SUB TOTAL MANO DE OBRA</v>
          </cell>
          <cell r="E315">
            <v>0</v>
          </cell>
          <cell r="F315">
            <v>0</v>
          </cell>
          <cell r="G315">
            <v>0</v>
          </cell>
          <cell r="H315">
            <v>55.604160160000006</v>
          </cell>
          <cell r="I315">
            <v>0</v>
          </cell>
        </row>
        <row r="316">
          <cell r="C316">
            <v>0</v>
          </cell>
          <cell r="D316" t="str">
            <v>C- EQUIPOS: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</row>
        <row r="317">
          <cell r="C317">
            <v>0</v>
          </cell>
          <cell r="D317" t="str">
            <v>Herramientas de Mano</v>
          </cell>
          <cell r="E317" t="str">
            <v>gl</v>
          </cell>
          <cell r="F317">
            <v>2.0563623047999999</v>
          </cell>
          <cell r="G317">
            <v>1</v>
          </cell>
          <cell r="H317">
            <v>2.0563623047999999</v>
          </cell>
          <cell r="I317">
            <v>0</v>
          </cell>
        </row>
        <row r="318">
          <cell r="C318">
            <v>0</v>
          </cell>
          <cell r="D318" t="str">
            <v>Hormigonera</v>
          </cell>
          <cell r="E318" t="str">
            <v>hs</v>
          </cell>
          <cell r="F318">
            <v>200</v>
          </cell>
          <cell r="G318">
            <v>0.03</v>
          </cell>
          <cell r="H318">
            <v>6</v>
          </cell>
          <cell r="I318">
            <v>0</v>
          </cell>
        </row>
        <row r="319">
          <cell r="C319">
            <v>0</v>
          </cell>
          <cell r="D319" t="str">
            <v>-</v>
          </cell>
          <cell r="E319" t="str">
            <v>-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</row>
        <row r="320">
          <cell r="C320">
            <v>0</v>
          </cell>
          <cell r="D320" t="str">
            <v>-</v>
          </cell>
          <cell r="E320" t="str">
            <v>-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</row>
        <row r="321">
          <cell r="C321">
            <v>0</v>
          </cell>
          <cell r="D321" t="str">
            <v>-</v>
          </cell>
          <cell r="E321" t="str">
            <v>-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</row>
        <row r="322">
          <cell r="C322">
            <v>0</v>
          </cell>
          <cell r="D322" t="str">
            <v>SUB TOTAL EQUIPOS</v>
          </cell>
          <cell r="E322">
            <v>0</v>
          </cell>
          <cell r="F322">
            <v>0</v>
          </cell>
          <cell r="G322">
            <v>0</v>
          </cell>
          <cell r="H322">
            <v>8.0563623048000004</v>
          </cell>
          <cell r="I322">
            <v>0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</row>
        <row r="324">
          <cell r="B324">
            <v>6</v>
          </cell>
          <cell r="C324">
            <v>0</v>
          </cell>
          <cell r="D324" t="str">
            <v>COSTO-COSTO</v>
          </cell>
          <cell r="E324">
            <v>0</v>
          </cell>
          <cell r="F324">
            <v>0</v>
          </cell>
          <cell r="G324">
            <v>0</v>
          </cell>
          <cell r="H324">
            <v>76.601772464800007</v>
          </cell>
          <cell r="I324">
            <v>0</v>
          </cell>
        </row>
        <row r="325">
          <cell r="C325">
            <v>0</v>
          </cell>
          <cell r="D325" t="str">
            <v>GASTO FINANCIERO</v>
          </cell>
          <cell r="E325">
            <v>0</v>
          </cell>
          <cell r="F325">
            <v>0</v>
          </cell>
          <cell r="G325">
            <v>0.02</v>
          </cell>
          <cell r="H325">
            <v>1.5320354492960002</v>
          </cell>
          <cell r="I325">
            <v>0</v>
          </cell>
        </row>
        <row r="326">
          <cell r="C326">
            <v>0</v>
          </cell>
          <cell r="D326" t="str">
            <v>SUB TOTAL</v>
          </cell>
          <cell r="E326">
            <v>0</v>
          </cell>
          <cell r="F326">
            <v>0</v>
          </cell>
          <cell r="G326">
            <v>0</v>
          </cell>
          <cell r="H326">
            <v>78.13380791409601</v>
          </cell>
          <cell r="I326">
            <v>0</v>
          </cell>
        </row>
        <row r="327">
          <cell r="C327">
            <v>0</v>
          </cell>
          <cell r="D327" t="str">
            <v>GASTOS GENERALES</v>
          </cell>
          <cell r="E327">
            <v>0</v>
          </cell>
          <cell r="F327">
            <v>0</v>
          </cell>
          <cell r="G327">
            <v>0.35116211482007981</v>
          </cell>
          <cell r="H327">
            <v>27.437633226059845</v>
          </cell>
          <cell r="I327">
            <v>0</v>
          </cell>
        </row>
        <row r="328">
          <cell r="C328">
            <v>0</v>
          </cell>
          <cell r="D328" t="str">
            <v>BENEFICIO</v>
          </cell>
          <cell r="E328">
            <v>0</v>
          </cell>
          <cell r="F328">
            <v>0</v>
          </cell>
          <cell r="G328">
            <v>0.1</v>
          </cell>
          <cell r="H328">
            <v>7.8133807914096014</v>
          </cell>
          <cell r="I328">
            <v>0</v>
          </cell>
        </row>
        <row r="329">
          <cell r="C329">
            <v>0</v>
          </cell>
          <cell r="D329" t="str">
            <v>COSTO TOTAL UNITARIO</v>
          </cell>
          <cell r="E329">
            <v>0</v>
          </cell>
          <cell r="F329">
            <v>0</v>
          </cell>
          <cell r="G329">
            <v>0</v>
          </cell>
          <cell r="H329">
            <v>113.38482193156545</v>
          </cell>
          <cell r="I329">
            <v>0</v>
          </cell>
        </row>
        <row r="330">
          <cell r="C330">
            <v>0</v>
          </cell>
          <cell r="D330" t="str">
            <v>IMPUETOS</v>
          </cell>
          <cell r="E330">
            <v>0</v>
          </cell>
          <cell r="F330" t="str">
            <v>IIBB</v>
          </cell>
          <cell r="G330">
            <v>2.4E-2</v>
          </cell>
          <cell r="H330">
            <v>2.721235726357571</v>
          </cell>
          <cell r="I330">
            <v>0</v>
          </cell>
        </row>
        <row r="331">
          <cell r="C331">
            <v>0</v>
          </cell>
          <cell r="D331">
            <v>0</v>
          </cell>
          <cell r="E331">
            <v>0</v>
          </cell>
          <cell r="F331" t="str">
            <v>IVA</v>
          </cell>
          <cell r="G331">
            <v>0.21</v>
          </cell>
          <cell r="H331">
            <v>23.810812605628744</v>
          </cell>
          <cell r="I331">
            <v>0</v>
          </cell>
        </row>
        <row r="332"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</row>
        <row r="333">
          <cell r="C333">
            <v>0</v>
          </cell>
          <cell r="D333" t="str">
            <v>PRECIO TOTAL UNITARIO</v>
          </cell>
          <cell r="E333">
            <v>0</v>
          </cell>
          <cell r="F333">
            <v>0</v>
          </cell>
          <cell r="G333">
            <v>0</v>
          </cell>
          <cell r="H333">
            <v>139.91687026355177</v>
          </cell>
          <cell r="I333">
            <v>0</v>
          </cell>
        </row>
        <row r="334"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</row>
        <row r="336">
          <cell r="C336">
            <v>0</v>
          </cell>
          <cell r="D336" t="str">
            <v>Rubro:</v>
          </cell>
          <cell r="E336">
            <v>3</v>
          </cell>
          <cell r="F336" t="str">
            <v>Albañilería</v>
          </cell>
          <cell r="G336" t="e">
            <v>#NAME?</v>
          </cell>
          <cell r="H336" t="e">
            <v>#NAME?</v>
          </cell>
          <cell r="I336">
            <v>0</v>
          </cell>
        </row>
        <row r="337">
          <cell r="C337">
            <v>0</v>
          </cell>
          <cell r="D337" t="str">
            <v>Sub Rubro:</v>
          </cell>
          <cell r="E337">
            <v>3.2</v>
          </cell>
          <cell r="F337" t="str">
            <v>Cielorrasos Reparación</v>
          </cell>
          <cell r="G337" t="e">
            <v>#NAME?</v>
          </cell>
          <cell r="H337" t="e">
            <v>#NAME?</v>
          </cell>
          <cell r="I337">
            <v>0</v>
          </cell>
        </row>
        <row r="338">
          <cell r="C338">
            <v>0</v>
          </cell>
          <cell r="D338" t="str">
            <v>Ítem:</v>
          </cell>
          <cell r="E338">
            <v>3.2</v>
          </cell>
          <cell r="F338" t="str">
            <v>Cielorrasos Reparación</v>
          </cell>
          <cell r="G338" t="e">
            <v>#NAME?</v>
          </cell>
          <cell r="H338" t="e">
            <v>#NAME?</v>
          </cell>
          <cell r="I338">
            <v>0</v>
          </cell>
        </row>
        <row r="339">
          <cell r="C339">
            <v>0</v>
          </cell>
          <cell r="D339" t="str">
            <v>Unida:</v>
          </cell>
          <cell r="E339" t="str">
            <v>gl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</row>
        <row r="340">
          <cell r="C340">
            <v>0</v>
          </cell>
          <cell r="D340" t="str">
            <v>DENOMINACION</v>
          </cell>
          <cell r="E340" t="str">
            <v>UNIDAD</v>
          </cell>
          <cell r="F340" t="str">
            <v>COSTO UNITARIO</v>
          </cell>
          <cell r="G340" t="str">
            <v>RENDIMIENTO POR UNIDAD</v>
          </cell>
          <cell r="H340" t="str">
            <v>COSTO PARCIAL</v>
          </cell>
          <cell r="I340">
            <v>0</v>
          </cell>
        </row>
        <row r="341">
          <cell r="C341">
            <v>0</v>
          </cell>
          <cell r="D341" t="str">
            <v>A- MATERIALES: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</row>
        <row r="342">
          <cell r="C342">
            <v>0</v>
          </cell>
          <cell r="D342" t="str">
            <v>Accesorios</v>
          </cell>
          <cell r="E342" t="str">
            <v>gl</v>
          </cell>
          <cell r="F342">
            <v>500</v>
          </cell>
          <cell r="G342">
            <v>2</v>
          </cell>
          <cell r="H342">
            <v>1000</v>
          </cell>
          <cell r="I342">
            <v>0</v>
          </cell>
        </row>
        <row r="343">
          <cell r="C343">
            <v>0</v>
          </cell>
          <cell r="D343">
            <v>0</v>
          </cell>
          <cell r="E343" t="str">
            <v>-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</row>
        <row r="344">
          <cell r="C344">
            <v>0</v>
          </cell>
          <cell r="D344">
            <v>0</v>
          </cell>
          <cell r="E344" t="str">
            <v>-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</row>
        <row r="345">
          <cell r="C345">
            <v>0</v>
          </cell>
          <cell r="D345">
            <v>0</v>
          </cell>
          <cell r="E345" t="str">
            <v>-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</row>
        <row r="346">
          <cell r="C346">
            <v>0</v>
          </cell>
          <cell r="D346">
            <v>0</v>
          </cell>
          <cell r="E346" t="str">
            <v>-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</row>
        <row r="347">
          <cell r="C347">
            <v>0</v>
          </cell>
          <cell r="D347">
            <v>0</v>
          </cell>
          <cell r="E347" t="str">
            <v>-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</row>
        <row r="348">
          <cell r="C348">
            <v>0</v>
          </cell>
          <cell r="D348">
            <v>0</v>
          </cell>
          <cell r="E348" t="str">
            <v>-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</row>
        <row r="349">
          <cell r="C349">
            <v>0</v>
          </cell>
          <cell r="D349">
            <v>0</v>
          </cell>
          <cell r="E349" t="str">
            <v>-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</row>
        <row r="350">
          <cell r="C350">
            <v>0</v>
          </cell>
          <cell r="D350">
            <v>0</v>
          </cell>
          <cell r="E350" t="str">
            <v>-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</row>
        <row r="351">
          <cell r="C351">
            <v>0</v>
          </cell>
          <cell r="D351">
            <v>0</v>
          </cell>
          <cell r="E351" t="str">
            <v>-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</row>
        <row r="352">
          <cell r="C352">
            <v>0</v>
          </cell>
          <cell r="D352">
            <v>0</v>
          </cell>
          <cell r="E352" t="str">
            <v>-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</row>
        <row r="353">
          <cell r="C353">
            <v>0</v>
          </cell>
          <cell r="D353">
            <v>0</v>
          </cell>
          <cell r="E353" t="str">
            <v>-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</row>
        <row r="354">
          <cell r="C354">
            <v>0</v>
          </cell>
          <cell r="D354">
            <v>0</v>
          </cell>
          <cell r="E354" t="str">
            <v>-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</row>
        <row r="355">
          <cell r="C355">
            <v>0</v>
          </cell>
          <cell r="D355">
            <v>0</v>
          </cell>
          <cell r="E355" t="str">
            <v>-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</row>
        <row r="356">
          <cell r="C356">
            <v>0</v>
          </cell>
          <cell r="D356">
            <v>0</v>
          </cell>
          <cell r="E356" t="str">
            <v>-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</row>
        <row r="357">
          <cell r="C357">
            <v>0</v>
          </cell>
          <cell r="D357">
            <v>0</v>
          </cell>
          <cell r="E357" t="str">
            <v>-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</row>
        <row r="358">
          <cell r="C358">
            <v>0</v>
          </cell>
          <cell r="D358">
            <v>0</v>
          </cell>
          <cell r="E358" t="str">
            <v>-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</row>
        <row r="359">
          <cell r="C359">
            <v>0</v>
          </cell>
          <cell r="D359">
            <v>0</v>
          </cell>
          <cell r="E359" t="str">
            <v>-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</row>
        <row r="360">
          <cell r="C360">
            <v>0</v>
          </cell>
          <cell r="D360">
            <v>0</v>
          </cell>
          <cell r="E360" t="str">
            <v>-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</row>
        <row r="361">
          <cell r="C361">
            <v>0</v>
          </cell>
          <cell r="D361">
            <v>0</v>
          </cell>
          <cell r="E361" t="str">
            <v>-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</row>
        <row r="362">
          <cell r="C362">
            <v>0</v>
          </cell>
          <cell r="D362" t="str">
            <v>SUB TOTAL MATERIALES</v>
          </cell>
          <cell r="E362">
            <v>0</v>
          </cell>
          <cell r="F362">
            <v>0</v>
          </cell>
          <cell r="G362">
            <v>0</v>
          </cell>
          <cell r="H362">
            <v>1000</v>
          </cell>
          <cell r="I362">
            <v>0</v>
          </cell>
        </row>
        <row r="363">
          <cell r="C363">
            <v>0</v>
          </cell>
          <cell r="D363" t="str">
            <v>B- MANO DE OBRA: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</row>
        <row r="364">
          <cell r="C364">
            <v>0</v>
          </cell>
          <cell r="D364" t="str">
            <v>Oficial</v>
          </cell>
          <cell r="E364" t="str">
            <v>hs</v>
          </cell>
          <cell r="F364">
            <v>56.619016000000002</v>
          </cell>
          <cell r="G364">
            <v>50</v>
          </cell>
          <cell r="H364">
            <v>2830.9508000000001</v>
          </cell>
          <cell r="I364">
            <v>0</v>
          </cell>
        </row>
        <row r="365">
          <cell r="C365">
            <v>0</v>
          </cell>
          <cell r="D365" t="str">
            <v>Ayudante</v>
          </cell>
          <cell r="E365" t="str">
            <v>hs</v>
          </cell>
          <cell r="F365">
            <v>48.396512000000008</v>
          </cell>
          <cell r="G365">
            <v>8.4520388576763583</v>
          </cell>
          <cell r="H365">
            <v>409.04920000000021</v>
          </cell>
          <cell r="I365">
            <v>0</v>
          </cell>
        </row>
        <row r="366">
          <cell r="C366">
            <v>0</v>
          </cell>
          <cell r="D366" t="str">
            <v>-</v>
          </cell>
          <cell r="E366" t="str">
            <v>-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</row>
        <row r="367">
          <cell r="C367">
            <v>0</v>
          </cell>
          <cell r="D367" t="str">
            <v>-</v>
          </cell>
          <cell r="E367" t="str">
            <v>-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</row>
        <row r="368">
          <cell r="C368">
            <v>0</v>
          </cell>
          <cell r="D368" t="str">
            <v>-</v>
          </cell>
          <cell r="E368" t="str">
            <v>-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</row>
        <row r="369">
          <cell r="C369">
            <v>0</v>
          </cell>
          <cell r="D369" t="str">
            <v>SUB TOTAL MANO DE OBRA</v>
          </cell>
          <cell r="E369">
            <v>0</v>
          </cell>
          <cell r="F369">
            <v>0</v>
          </cell>
          <cell r="G369">
            <v>0</v>
          </cell>
          <cell r="H369">
            <v>3240.0000000000005</v>
          </cell>
          <cell r="I369">
            <v>0</v>
          </cell>
        </row>
        <row r="370">
          <cell r="C370">
            <v>0</v>
          </cell>
          <cell r="D370" t="str">
            <v>C- EQUIPOS: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</row>
        <row r="371">
          <cell r="C371">
            <v>0</v>
          </cell>
          <cell r="D371" t="str">
            <v>Herramientas de Mano</v>
          </cell>
          <cell r="E371" t="str">
            <v>gl</v>
          </cell>
          <cell r="F371">
            <v>127.19999999999999</v>
          </cell>
          <cell r="G371">
            <v>1</v>
          </cell>
          <cell r="H371">
            <v>127.19999999999999</v>
          </cell>
          <cell r="I371">
            <v>0</v>
          </cell>
        </row>
        <row r="372">
          <cell r="C372">
            <v>0</v>
          </cell>
          <cell r="D372" t="str">
            <v>-</v>
          </cell>
          <cell r="E372" t="str">
            <v>-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</row>
        <row r="373">
          <cell r="C373">
            <v>0</v>
          </cell>
          <cell r="D373" t="str">
            <v>-</v>
          </cell>
          <cell r="E373" t="str">
            <v>-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</row>
        <row r="374">
          <cell r="C374">
            <v>0</v>
          </cell>
          <cell r="D374" t="str">
            <v>-</v>
          </cell>
          <cell r="E374" t="str">
            <v>-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</row>
        <row r="375">
          <cell r="C375">
            <v>0</v>
          </cell>
          <cell r="D375" t="str">
            <v>-</v>
          </cell>
          <cell r="E375" t="str">
            <v>-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</row>
        <row r="376">
          <cell r="C376">
            <v>0</v>
          </cell>
          <cell r="D376" t="str">
            <v>SUB TOTAL EQUIPOS</v>
          </cell>
          <cell r="E376">
            <v>0</v>
          </cell>
          <cell r="F376">
            <v>0</v>
          </cell>
          <cell r="G376">
            <v>0</v>
          </cell>
          <cell r="H376">
            <v>127.19999999999999</v>
          </cell>
          <cell r="I376">
            <v>0</v>
          </cell>
        </row>
        <row r="377"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</row>
        <row r="378">
          <cell r="B378">
            <v>7</v>
          </cell>
          <cell r="C378">
            <v>0</v>
          </cell>
          <cell r="D378" t="str">
            <v>COSTO-COSTO</v>
          </cell>
          <cell r="E378">
            <v>0</v>
          </cell>
          <cell r="F378">
            <v>0</v>
          </cell>
          <cell r="G378">
            <v>0</v>
          </cell>
          <cell r="H378">
            <v>4367.2000000000007</v>
          </cell>
          <cell r="I378">
            <v>0</v>
          </cell>
        </row>
        <row r="379">
          <cell r="C379">
            <v>0</v>
          </cell>
          <cell r="D379" t="str">
            <v>GASTO FINANCIERO</v>
          </cell>
          <cell r="E379">
            <v>0</v>
          </cell>
          <cell r="F379">
            <v>0</v>
          </cell>
          <cell r="G379">
            <v>0.02</v>
          </cell>
          <cell r="H379">
            <v>87.344000000000023</v>
          </cell>
          <cell r="I379">
            <v>0</v>
          </cell>
        </row>
        <row r="380">
          <cell r="C380">
            <v>0</v>
          </cell>
          <cell r="D380" t="str">
            <v>SUB TOTAL</v>
          </cell>
          <cell r="E380">
            <v>0</v>
          </cell>
          <cell r="F380">
            <v>0</v>
          </cell>
          <cell r="G380">
            <v>0</v>
          </cell>
          <cell r="H380">
            <v>4454.5440000000008</v>
          </cell>
          <cell r="I380">
            <v>0</v>
          </cell>
        </row>
        <row r="381">
          <cell r="C381">
            <v>0</v>
          </cell>
          <cell r="D381" t="str">
            <v>GASTOS GENERALES</v>
          </cell>
          <cell r="E381">
            <v>0</v>
          </cell>
          <cell r="F381">
            <v>0</v>
          </cell>
          <cell r="G381">
            <v>0.35116211482007981</v>
          </cell>
          <cell r="H381">
            <v>1564.267091599098</v>
          </cell>
          <cell r="I381">
            <v>0</v>
          </cell>
        </row>
        <row r="382">
          <cell r="C382">
            <v>0</v>
          </cell>
          <cell r="D382" t="str">
            <v>BENEFICIO</v>
          </cell>
          <cell r="E382">
            <v>0</v>
          </cell>
          <cell r="F382">
            <v>0</v>
          </cell>
          <cell r="G382">
            <v>0.1</v>
          </cell>
          <cell r="H382">
            <v>445.45440000000008</v>
          </cell>
          <cell r="I382">
            <v>0</v>
          </cell>
        </row>
        <row r="383">
          <cell r="C383">
            <v>0</v>
          </cell>
          <cell r="D383" t="str">
            <v>COSTO TOTAL UNITARIO</v>
          </cell>
          <cell r="E383">
            <v>0</v>
          </cell>
          <cell r="F383">
            <v>0</v>
          </cell>
          <cell r="G383">
            <v>0</v>
          </cell>
          <cell r="H383">
            <v>6464.2654915990988</v>
          </cell>
          <cell r="I383">
            <v>0</v>
          </cell>
        </row>
        <row r="384">
          <cell r="C384">
            <v>0</v>
          </cell>
          <cell r="D384" t="str">
            <v>IMPUETOS</v>
          </cell>
          <cell r="E384">
            <v>0</v>
          </cell>
          <cell r="F384" t="str">
            <v>IIBB</v>
          </cell>
          <cell r="G384">
            <v>2.4E-2</v>
          </cell>
          <cell r="H384">
            <v>155.14237179837838</v>
          </cell>
          <cell r="I384">
            <v>0</v>
          </cell>
        </row>
        <row r="385">
          <cell r="C385">
            <v>0</v>
          </cell>
          <cell r="D385">
            <v>0</v>
          </cell>
          <cell r="E385">
            <v>0</v>
          </cell>
          <cell r="F385" t="str">
            <v>IVA</v>
          </cell>
          <cell r="G385">
            <v>0.21</v>
          </cell>
          <cell r="H385">
            <v>1357.4957532358108</v>
          </cell>
          <cell r="I385">
            <v>0</v>
          </cell>
        </row>
        <row r="386"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</row>
        <row r="387">
          <cell r="C387">
            <v>0</v>
          </cell>
          <cell r="D387" t="str">
            <v>PRECIO TOTAL UNITARIO</v>
          </cell>
          <cell r="E387">
            <v>0</v>
          </cell>
          <cell r="F387">
            <v>0</v>
          </cell>
          <cell r="G387">
            <v>0</v>
          </cell>
          <cell r="H387">
            <v>7976.903616633288</v>
          </cell>
          <cell r="I387">
            <v>0</v>
          </cell>
        </row>
        <row r="388"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</row>
        <row r="389"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</row>
        <row r="390">
          <cell r="C390">
            <v>0</v>
          </cell>
          <cell r="D390" t="str">
            <v>Rubro:</v>
          </cell>
          <cell r="E390">
            <v>3</v>
          </cell>
          <cell r="F390" t="str">
            <v>Albañilería</v>
          </cell>
          <cell r="G390" t="e">
            <v>#NAME?</v>
          </cell>
          <cell r="H390" t="e">
            <v>#NAME?</v>
          </cell>
          <cell r="I390">
            <v>0</v>
          </cell>
        </row>
        <row r="391">
          <cell r="C391">
            <v>0</v>
          </cell>
          <cell r="D391" t="str">
            <v>Sub Rubro:</v>
          </cell>
          <cell r="E391">
            <v>3.3</v>
          </cell>
          <cell r="F391" t="str">
            <v>Reparación Cubierta Techo (membrana)</v>
          </cell>
          <cell r="G391" t="e">
            <v>#NAME?</v>
          </cell>
          <cell r="H391" t="e">
            <v>#NAME?</v>
          </cell>
          <cell r="I391">
            <v>0</v>
          </cell>
        </row>
        <row r="392">
          <cell r="C392">
            <v>0</v>
          </cell>
          <cell r="D392" t="str">
            <v>Ítem:</v>
          </cell>
          <cell r="E392">
            <v>3.3</v>
          </cell>
          <cell r="F392" t="str">
            <v>Reparación Cubierta Techo (membrana)</v>
          </cell>
          <cell r="G392" t="e">
            <v>#NAME?</v>
          </cell>
          <cell r="H392" t="e">
            <v>#NAME?</v>
          </cell>
          <cell r="I392">
            <v>0</v>
          </cell>
        </row>
        <row r="393">
          <cell r="C393">
            <v>0</v>
          </cell>
          <cell r="D393" t="str">
            <v>Unida:</v>
          </cell>
          <cell r="E393" t="str">
            <v>m²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</row>
        <row r="394">
          <cell r="C394">
            <v>0</v>
          </cell>
          <cell r="D394" t="str">
            <v>DENOMINACION</v>
          </cell>
          <cell r="E394" t="str">
            <v>UNIDAD</v>
          </cell>
          <cell r="F394" t="str">
            <v>COSTO UNITARIO</v>
          </cell>
          <cell r="G394" t="str">
            <v>RENDIMIENTO POR UNIDAD</v>
          </cell>
          <cell r="H394" t="str">
            <v>COSTO PARCIAL</v>
          </cell>
          <cell r="I394">
            <v>0</v>
          </cell>
        </row>
        <row r="395">
          <cell r="C395">
            <v>0</v>
          </cell>
          <cell r="D395" t="str">
            <v>A- MATERIALES: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</row>
        <row r="396">
          <cell r="C396">
            <v>0</v>
          </cell>
          <cell r="D396" t="str">
            <v>Membrana</v>
          </cell>
          <cell r="E396" t="str">
            <v>m²</v>
          </cell>
          <cell r="F396">
            <v>38.799999999999997</v>
          </cell>
          <cell r="G396">
            <v>1.1499999999999999</v>
          </cell>
          <cell r="H396">
            <v>44.61999999999999</v>
          </cell>
          <cell r="I396">
            <v>0</v>
          </cell>
        </row>
        <row r="397">
          <cell r="C397">
            <v>0</v>
          </cell>
          <cell r="D397" t="str">
            <v>Emulsion</v>
          </cell>
          <cell r="E397" t="str">
            <v>kg</v>
          </cell>
          <cell r="F397">
            <v>9.16</v>
          </cell>
          <cell r="G397">
            <v>1</v>
          </cell>
          <cell r="H397">
            <v>9.16</v>
          </cell>
          <cell r="I397">
            <v>0</v>
          </cell>
        </row>
        <row r="398">
          <cell r="C398">
            <v>0</v>
          </cell>
          <cell r="D398" t="str">
            <v xml:space="preserve">Accesorios </v>
          </cell>
          <cell r="E398" t="str">
            <v>gl</v>
          </cell>
          <cell r="F398">
            <v>25</v>
          </cell>
          <cell r="G398">
            <v>1</v>
          </cell>
          <cell r="H398">
            <v>25</v>
          </cell>
          <cell r="I398">
            <v>0</v>
          </cell>
        </row>
        <row r="399">
          <cell r="C399">
            <v>0</v>
          </cell>
          <cell r="D399">
            <v>0</v>
          </cell>
          <cell r="E399" t="str">
            <v>-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</row>
        <row r="400">
          <cell r="C400">
            <v>0</v>
          </cell>
          <cell r="D400">
            <v>0</v>
          </cell>
          <cell r="E400" t="str">
            <v>-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</row>
        <row r="401">
          <cell r="C401">
            <v>0</v>
          </cell>
          <cell r="D401">
            <v>0</v>
          </cell>
          <cell r="E401" t="str">
            <v>-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</row>
        <row r="402">
          <cell r="C402">
            <v>0</v>
          </cell>
          <cell r="D402">
            <v>0</v>
          </cell>
          <cell r="E402" t="str">
            <v>-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</row>
        <row r="403">
          <cell r="C403">
            <v>0</v>
          </cell>
          <cell r="D403">
            <v>0</v>
          </cell>
          <cell r="E403" t="str">
            <v>-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</row>
        <row r="404">
          <cell r="C404">
            <v>0</v>
          </cell>
          <cell r="D404">
            <v>0</v>
          </cell>
          <cell r="E404" t="str">
            <v>-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</row>
        <row r="405">
          <cell r="C405">
            <v>0</v>
          </cell>
          <cell r="D405">
            <v>0</v>
          </cell>
          <cell r="E405" t="str">
            <v>-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</row>
        <row r="406">
          <cell r="C406">
            <v>0</v>
          </cell>
          <cell r="D406">
            <v>0</v>
          </cell>
          <cell r="E406" t="str">
            <v>-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</row>
        <row r="407">
          <cell r="C407">
            <v>0</v>
          </cell>
          <cell r="D407">
            <v>0</v>
          </cell>
          <cell r="E407" t="str">
            <v>-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</row>
        <row r="408">
          <cell r="C408">
            <v>0</v>
          </cell>
          <cell r="D408">
            <v>0</v>
          </cell>
          <cell r="E408" t="str">
            <v>-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</row>
        <row r="409">
          <cell r="C409">
            <v>0</v>
          </cell>
          <cell r="D409">
            <v>0</v>
          </cell>
          <cell r="E409" t="str">
            <v>-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</row>
        <row r="410">
          <cell r="C410">
            <v>0</v>
          </cell>
          <cell r="D410">
            <v>0</v>
          </cell>
          <cell r="E410" t="str">
            <v>-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</row>
        <row r="411">
          <cell r="C411">
            <v>0</v>
          </cell>
          <cell r="D411">
            <v>0</v>
          </cell>
          <cell r="E411" t="str">
            <v>-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</row>
        <row r="412">
          <cell r="C412">
            <v>0</v>
          </cell>
          <cell r="D412">
            <v>0</v>
          </cell>
          <cell r="E412" t="str">
            <v>-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</row>
        <row r="413">
          <cell r="C413">
            <v>0</v>
          </cell>
          <cell r="D413">
            <v>0</v>
          </cell>
          <cell r="E413" t="str">
            <v>-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</row>
        <row r="414">
          <cell r="C414">
            <v>0</v>
          </cell>
          <cell r="D414">
            <v>0</v>
          </cell>
          <cell r="E414" t="str">
            <v>-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</row>
        <row r="415">
          <cell r="C415">
            <v>0</v>
          </cell>
          <cell r="D415">
            <v>0</v>
          </cell>
          <cell r="E415" t="str">
            <v>-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</row>
        <row r="416">
          <cell r="C416">
            <v>0</v>
          </cell>
          <cell r="D416" t="str">
            <v>SUB TOTAL MATERIALES</v>
          </cell>
          <cell r="E416">
            <v>0</v>
          </cell>
          <cell r="F416">
            <v>0</v>
          </cell>
          <cell r="G416">
            <v>0</v>
          </cell>
          <cell r="H416">
            <v>78.779999999999987</v>
          </cell>
          <cell r="I416">
            <v>0</v>
          </cell>
        </row>
        <row r="417">
          <cell r="C417">
            <v>0</v>
          </cell>
          <cell r="D417" t="str">
            <v>B- MANO DE OBRA: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</row>
        <row r="418">
          <cell r="C418">
            <v>0</v>
          </cell>
          <cell r="D418" t="str">
            <v>Oficial</v>
          </cell>
          <cell r="E418" t="str">
            <v>hs</v>
          </cell>
          <cell r="F418">
            <v>56.619016000000002</v>
          </cell>
          <cell r="G418">
            <v>0.6</v>
          </cell>
          <cell r="H418">
            <v>33.971409600000001</v>
          </cell>
          <cell r="I418">
            <v>0</v>
          </cell>
        </row>
        <row r="419">
          <cell r="C419">
            <v>0</v>
          </cell>
          <cell r="D419" t="str">
            <v>Ayudante</v>
          </cell>
          <cell r="E419" t="str">
            <v>hs</v>
          </cell>
          <cell r="F419">
            <v>48.396512000000008</v>
          </cell>
          <cell r="G419">
            <v>4.191604551997459E-2</v>
          </cell>
          <cell r="H419">
            <v>2.028590399999997</v>
          </cell>
          <cell r="I419">
            <v>0</v>
          </cell>
        </row>
        <row r="420">
          <cell r="C420">
            <v>0</v>
          </cell>
          <cell r="D420" t="str">
            <v>-</v>
          </cell>
          <cell r="E420" t="str">
            <v>-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</row>
        <row r="421">
          <cell r="C421">
            <v>0</v>
          </cell>
          <cell r="D421" t="str">
            <v>-</v>
          </cell>
          <cell r="E421" t="str">
            <v>-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</row>
        <row r="422">
          <cell r="C422">
            <v>0</v>
          </cell>
          <cell r="D422" t="str">
            <v>-</v>
          </cell>
          <cell r="E422" t="str">
            <v>-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</row>
        <row r="423">
          <cell r="C423">
            <v>0</v>
          </cell>
          <cell r="D423" t="str">
            <v>SUB TOTAL MANO DE OBRA</v>
          </cell>
          <cell r="E423">
            <v>0</v>
          </cell>
          <cell r="F423">
            <v>0</v>
          </cell>
          <cell r="G423">
            <v>0</v>
          </cell>
          <cell r="H423">
            <v>36</v>
          </cell>
          <cell r="I423">
            <v>0</v>
          </cell>
        </row>
        <row r="424">
          <cell r="C424">
            <v>0</v>
          </cell>
          <cell r="D424" t="str">
            <v>C- EQUIPOS: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</row>
        <row r="425">
          <cell r="C425">
            <v>0</v>
          </cell>
          <cell r="D425" t="str">
            <v>Herramientas de Mano</v>
          </cell>
          <cell r="E425" t="str">
            <v>gl</v>
          </cell>
          <cell r="F425">
            <v>3.4433999999999996</v>
          </cell>
          <cell r="G425">
            <v>1</v>
          </cell>
          <cell r="H425">
            <v>3.4433999999999996</v>
          </cell>
          <cell r="I425">
            <v>0</v>
          </cell>
        </row>
        <row r="426">
          <cell r="C426">
            <v>0</v>
          </cell>
          <cell r="D426" t="str">
            <v>-</v>
          </cell>
          <cell r="E426" t="str">
            <v>-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</row>
        <row r="427">
          <cell r="C427">
            <v>0</v>
          </cell>
          <cell r="D427" t="str">
            <v>-</v>
          </cell>
          <cell r="E427" t="str">
            <v>-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</row>
        <row r="428">
          <cell r="C428">
            <v>0</v>
          </cell>
          <cell r="D428" t="str">
            <v>-</v>
          </cell>
          <cell r="E428" t="str">
            <v>-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</row>
        <row r="429">
          <cell r="C429">
            <v>0</v>
          </cell>
          <cell r="D429" t="str">
            <v>-</v>
          </cell>
          <cell r="E429" t="str">
            <v>-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</row>
        <row r="430">
          <cell r="C430">
            <v>0</v>
          </cell>
          <cell r="D430" t="str">
            <v>SUB TOTAL EQUIPOS</v>
          </cell>
          <cell r="E430">
            <v>0</v>
          </cell>
          <cell r="F430">
            <v>0</v>
          </cell>
          <cell r="G430">
            <v>0</v>
          </cell>
          <cell r="H430">
            <v>3.4433999999999996</v>
          </cell>
          <cell r="I430">
            <v>0</v>
          </cell>
        </row>
        <row r="431"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</row>
        <row r="432">
          <cell r="B432">
            <v>8</v>
          </cell>
          <cell r="C432">
            <v>0</v>
          </cell>
          <cell r="D432" t="str">
            <v>COSTO-COSTO</v>
          </cell>
          <cell r="E432">
            <v>0</v>
          </cell>
          <cell r="F432">
            <v>0</v>
          </cell>
          <cell r="G432">
            <v>0</v>
          </cell>
          <cell r="H432">
            <v>118.22339999999998</v>
          </cell>
          <cell r="I432">
            <v>0</v>
          </cell>
        </row>
        <row r="433">
          <cell r="C433">
            <v>0</v>
          </cell>
          <cell r="D433" t="str">
            <v>GASTO FINANCIERO</v>
          </cell>
          <cell r="E433">
            <v>0</v>
          </cell>
          <cell r="F433">
            <v>0</v>
          </cell>
          <cell r="G433">
            <v>0.02</v>
          </cell>
          <cell r="H433">
            <v>2.3644679999999996</v>
          </cell>
          <cell r="I433">
            <v>0</v>
          </cell>
        </row>
        <row r="434">
          <cell r="C434">
            <v>0</v>
          </cell>
          <cell r="D434" t="str">
            <v>SUB TOTAL</v>
          </cell>
          <cell r="E434">
            <v>0</v>
          </cell>
          <cell r="F434">
            <v>0</v>
          </cell>
          <cell r="G434">
            <v>0</v>
          </cell>
          <cell r="H434">
            <v>120.58786799999999</v>
          </cell>
          <cell r="I434">
            <v>0</v>
          </cell>
        </row>
        <row r="435">
          <cell r="C435">
            <v>0</v>
          </cell>
          <cell r="D435" t="str">
            <v>GASTOS GENERALES</v>
          </cell>
          <cell r="E435">
            <v>0</v>
          </cell>
          <cell r="F435">
            <v>0</v>
          </cell>
          <cell r="G435">
            <v>0.35116211482007981</v>
          </cell>
          <cell r="H435">
            <v>42.345890748524624</v>
          </cell>
          <cell r="I435">
            <v>0</v>
          </cell>
        </row>
        <row r="436">
          <cell r="C436">
            <v>0</v>
          </cell>
          <cell r="D436" t="str">
            <v>BENEFICIO</v>
          </cell>
          <cell r="E436">
            <v>0</v>
          </cell>
          <cell r="F436">
            <v>0</v>
          </cell>
          <cell r="G436">
            <v>0.1</v>
          </cell>
          <cell r="H436">
            <v>12.0587868</v>
          </cell>
          <cell r="I436">
            <v>0</v>
          </cell>
        </row>
        <row r="437">
          <cell r="C437">
            <v>0</v>
          </cell>
          <cell r="D437" t="str">
            <v>COSTO TOTAL UNITARIO</v>
          </cell>
          <cell r="E437">
            <v>0</v>
          </cell>
          <cell r="F437">
            <v>0</v>
          </cell>
          <cell r="G437">
            <v>0</v>
          </cell>
          <cell r="H437">
            <v>174.99254554852462</v>
          </cell>
          <cell r="I437">
            <v>0</v>
          </cell>
        </row>
        <row r="438">
          <cell r="C438">
            <v>0</v>
          </cell>
          <cell r="D438" t="str">
            <v>IMPUETOS</v>
          </cell>
          <cell r="E438">
            <v>0</v>
          </cell>
          <cell r="F438" t="str">
            <v>IIBB</v>
          </cell>
          <cell r="G438">
            <v>2.4E-2</v>
          </cell>
          <cell r="H438">
            <v>4.1998210931645907</v>
          </cell>
          <cell r="I438">
            <v>0</v>
          </cell>
        </row>
        <row r="439">
          <cell r="C439">
            <v>0</v>
          </cell>
          <cell r="D439">
            <v>0</v>
          </cell>
          <cell r="E439">
            <v>0</v>
          </cell>
          <cell r="F439" t="str">
            <v>IVA</v>
          </cell>
          <cell r="G439">
            <v>0.21</v>
          </cell>
          <cell r="H439">
            <v>36.748434565190166</v>
          </cell>
          <cell r="I439">
            <v>0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</row>
        <row r="441">
          <cell r="C441">
            <v>0</v>
          </cell>
          <cell r="D441" t="str">
            <v>PRECIO TOTAL UNITARIO</v>
          </cell>
          <cell r="E441">
            <v>0</v>
          </cell>
          <cell r="F441">
            <v>0</v>
          </cell>
          <cell r="G441">
            <v>0</v>
          </cell>
          <cell r="H441">
            <v>215.94080120687937</v>
          </cell>
          <cell r="I441">
            <v>0</v>
          </cell>
        </row>
        <row r="442"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</row>
        <row r="443"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</row>
        <row r="444">
          <cell r="C444">
            <v>0</v>
          </cell>
          <cell r="D444" t="str">
            <v>Rubro:</v>
          </cell>
          <cell r="E444">
            <v>3</v>
          </cell>
          <cell r="F444" t="str">
            <v>Albañilería</v>
          </cell>
          <cell r="G444" t="e">
            <v>#NAME?</v>
          </cell>
          <cell r="H444" t="e">
            <v>#NAME?</v>
          </cell>
          <cell r="I444">
            <v>0</v>
          </cell>
        </row>
        <row r="445">
          <cell r="C445">
            <v>0</v>
          </cell>
          <cell r="D445" t="str">
            <v>Sub Rubro:</v>
          </cell>
          <cell r="E445">
            <v>3.4</v>
          </cell>
          <cell r="F445" t="str">
            <v>Hormigón para columnas</v>
          </cell>
          <cell r="G445" t="e">
            <v>#NAME?</v>
          </cell>
          <cell r="H445" t="e">
            <v>#NAME?</v>
          </cell>
          <cell r="I445">
            <v>0</v>
          </cell>
        </row>
        <row r="446">
          <cell r="C446">
            <v>0</v>
          </cell>
          <cell r="D446" t="str">
            <v>Ítem:</v>
          </cell>
          <cell r="E446">
            <v>3.4</v>
          </cell>
          <cell r="F446" t="str">
            <v>Hormigón para columnas</v>
          </cell>
          <cell r="G446" t="e">
            <v>#NAME?</v>
          </cell>
          <cell r="H446" t="e">
            <v>#NAME?</v>
          </cell>
          <cell r="I446">
            <v>0</v>
          </cell>
        </row>
        <row r="447">
          <cell r="C447">
            <v>0</v>
          </cell>
          <cell r="D447" t="str">
            <v>Unida:</v>
          </cell>
          <cell r="E447" t="str">
            <v>m³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</row>
        <row r="448">
          <cell r="C448">
            <v>0</v>
          </cell>
          <cell r="D448" t="str">
            <v>DENOMINACION</v>
          </cell>
          <cell r="E448" t="str">
            <v>UNIDAD</v>
          </cell>
          <cell r="F448" t="str">
            <v>COSTO UNITARIO</v>
          </cell>
          <cell r="G448" t="str">
            <v>RENDIMIENTO POR UNIDAD</v>
          </cell>
          <cell r="H448" t="str">
            <v>COSTO PARCIAL</v>
          </cell>
          <cell r="I448">
            <v>0</v>
          </cell>
        </row>
        <row r="449">
          <cell r="C449">
            <v>0</v>
          </cell>
          <cell r="D449" t="str">
            <v>A- MATERIALES: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</row>
        <row r="450">
          <cell r="C450">
            <v>0</v>
          </cell>
          <cell r="D450" t="str">
            <v>Cemento Normal</v>
          </cell>
          <cell r="E450" t="str">
            <v>kg</v>
          </cell>
          <cell r="F450">
            <v>1.35</v>
          </cell>
          <cell r="G450">
            <v>350</v>
          </cell>
          <cell r="H450">
            <v>472.50000000000006</v>
          </cell>
          <cell r="I450">
            <v>0</v>
          </cell>
        </row>
        <row r="451">
          <cell r="C451">
            <v>0</v>
          </cell>
          <cell r="D451" t="str">
            <v>Arena Mediana</v>
          </cell>
          <cell r="E451" t="str">
            <v>m³</v>
          </cell>
          <cell r="F451">
            <v>100</v>
          </cell>
          <cell r="G451">
            <v>0.7</v>
          </cell>
          <cell r="H451">
            <v>70</v>
          </cell>
          <cell r="I451">
            <v>0</v>
          </cell>
        </row>
        <row r="452">
          <cell r="C452">
            <v>0</v>
          </cell>
          <cell r="D452" t="str">
            <v>Ripio Clasificado</v>
          </cell>
          <cell r="E452" t="str">
            <v>m³</v>
          </cell>
          <cell r="F452">
            <v>90</v>
          </cell>
          <cell r="G452">
            <v>0.7</v>
          </cell>
          <cell r="H452">
            <v>62.999999999999993</v>
          </cell>
          <cell r="I452">
            <v>0</v>
          </cell>
        </row>
        <row r="453">
          <cell r="C453">
            <v>0</v>
          </cell>
          <cell r="D453" t="str">
            <v>Hierro</v>
          </cell>
          <cell r="E453" t="str">
            <v>kg</v>
          </cell>
          <cell r="F453">
            <v>10</v>
          </cell>
          <cell r="G453">
            <v>70</v>
          </cell>
          <cell r="H453">
            <v>700</v>
          </cell>
          <cell r="I453">
            <v>0</v>
          </cell>
        </row>
        <row r="454">
          <cell r="C454">
            <v>0</v>
          </cell>
          <cell r="D454" t="str">
            <v>Alambre Gal. N° 17</v>
          </cell>
          <cell r="E454" t="str">
            <v>kg</v>
          </cell>
          <cell r="F454">
            <v>15</v>
          </cell>
          <cell r="G454">
            <v>7.5</v>
          </cell>
          <cell r="H454">
            <v>112.5</v>
          </cell>
          <cell r="I454">
            <v>0</v>
          </cell>
        </row>
        <row r="455">
          <cell r="C455">
            <v>0</v>
          </cell>
          <cell r="D455" t="str">
            <v>Clavos</v>
          </cell>
          <cell r="E455" t="str">
            <v>kg</v>
          </cell>
          <cell r="F455">
            <v>12.247874999999999</v>
          </cell>
          <cell r="G455">
            <v>1.2</v>
          </cell>
          <cell r="H455">
            <v>14.697449999999998</v>
          </cell>
          <cell r="I455">
            <v>0</v>
          </cell>
        </row>
        <row r="456">
          <cell r="C456">
            <v>0</v>
          </cell>
          <cell r="D456" t="str">
            <v>Fenolico Encofrado</v>
          </cell>
          <cell r="E456" t="str">
            <v>gl</v>
          </cell>
          <cell r="F456">
            <v>180</v>
          </cell>
          <cell r="G456">
            <v>1</v>
          </cell>
          <cell r="H456">
            <v>180</v>
          </cell>
          <cell r="I456">
            <v>0</v>
          </cell>
        </row>
        <row r="457">
          <cell r="C457">
            <v>0</v>
          </cell>
          <cell r="D457">
            <v>0</v>
          </cell>
          <cell r="E457" t="str">
            <v>-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</row>
        <row r="458">
          <cell r="C458">
            <v>0</v>
          </cell>
          <cell r="D458">
            <v>0</v>
          </cell>
          <cell r="E458" t="str">
            <v>-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</row>
        <row r="459">
          <cell r="C459">
            <v>0</v>
          </cell>
          <cell r="D459">
            <v>0</v>
          </cell>
          <cell r="E459" t="str">
            <v>-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</row>
        <row r="460">
          <cell r="C460">
            <v>0</v>
          </cell>
          <cell r="D460">
            <v>0</v>
          </cell>
          <cell r="E460" t="str">
            <v>-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</row>
        <row r="461">
          <cell r="C461">
            <v>0</v>
          </cell>
          <cell r="D461">
            <v>0</v>
          </cell>
          <cell r="E461" t="str">
            <v>-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</row>
        <row r="462">
          <cell r="C462">
            <v>0</v>
          </cell>
          <cell r="D462">
            <v>0</v>
          </cell>
          <cell r="E462" t="str">
            <v>-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</row>
        <row r="463">
          <cell r="C463">
            <v>0</v>
          </cell>
          <cell r="D463">
            <v>0</v>
          </cell>
          <cell r="E463" t="str">
            <v>-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</row>
        <row r="464">
          <cell r="C464">
            <v>0</v>
          </cell>
          <cell r="D464">
            <v>0</v>
          </cell>
          <cell r="E464" t="str">
            <v>-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</row>
        <row r="465">
          <cell r="C465">
            <v>0</v>
          </cell>
          <cell r="D465">
            <v>0</v>
          </cell>
          <cell r="E465" t="str">
            <v>-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</row>
        <row r="466">
          <cell r="C466">
            <v>0</v>
          </cell>
          <cell r="D466">
            <v>0</v>
          </cell>
          <cell r="E466" t="str">
            <v>-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</row>
        <row r="467">
          <cell r="C467">
            <v>0</v>
          </cell>
          <cell r="D467">
            <v>0</v>
          </cell>
          <cell r="E467" t="str">
            <v>-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</row>
        <row r="468">
          <cell r="C468">
            <v>0</v>
          </cell>
          <cell r="D468">
            <v>0</v>
          </cell>
          <cell r="E468" t="str">
            <v>-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</row>
        <row r="469">
          <cell r="C469">
            <v>0</v>
          </cell>
          <cell r="D469">
            <v>0</v>
          </cell>
          <cell r="E469" t="str">
            <v>-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</row>
        <row r="470">
          <cell r="C470">
            <v>0</v>
          </cell>
          <cell r="D470" t="str">
            <v>SUB TOTAL MATERIALES</v>
          </cell>
          <cell r="E470">
            <v>0</v>
          </cell>
          <cell r="F470">
            <v>0</v>
          </cell>
          <cell r="G470">
            <v>0</v>
          </cell>
          <cell r="H470">
            <v>1612.6974499999999</v>
          </cell>
          <cell r="I470">
            <v>0</v>
          </cell>
        </row>
        <row r="471">
          <cell r="C471">
            <v>0</v>
          </cell>
          <cell r="D471" t="str">
            <v>B- MANO DE OBRA: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</row>
        <row r="472">
          <cell r="C472">
            <v>0</v>
          </cell>
          <cell r="D472" t="str">
            <v>Oficial</v>
          </cell>
          <cell r="E472" t="str">
            <v>hs</v>
          </cell>
          <cell r="F472">
            <v>56.619016000000002</v>
          </cell>
          <cell r="G472">
            <v>25</v>
          </cell>
          <cell r="H472">
            <v>1415.4754</v>
          </cell>
          <cell r="I472">
            <v>0</v>
          </cell>
        </row>
        <row r="473">
          <cell r="C473">
            <v>0</v>
          </cell>
          <cell r="D473" t="str">
            <v>Ayudante</v>
          </cell>
          <cell r="E473" t="str">
            <v>hs</v>
          </cell>
          <cell r="F473">
            <v>48.396512000000008</v>
          </cell>
          <cell r="G473">
            <v>5.7137299481417134</v>
          </cell>
          <cell r="H473">
            <v>276.52459999999985</v>
          </cell>
          <cell r="I473">
            <v>0</v>
          </cell>
        </row>
        <row r="474">
          <cell r="C474">
            <v>0</v>
          </cell>
          <cell r="D474" t="str">
            <v>-</v>
          </cell>
          <cell r="E474" t="str">
            <v>-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</row>
        <row r="475">
          <cell r="C475">
            <v>0</v>
          </cell>
          <cell r="D475" t="str">
            <v>-</v>
          </cell>
          <cell r="E475" t="str">
            <v>-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</row>
        <row r="476">
          <cell r="C476">
            <v>0</v>
          </cell>
          <cell r="D476" t="str">
            <v>-</v>
          </cell>
          <cell r="E476" t="str">
            <v>-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</row>
        <row r="477">
          <cell r="C477">
            <v>0</v>
          </cell>
          <cell r="D477" t="str">
            <v>SUB TOTAL MANO DE OBRA</v>
          </cell>
          <cell r="E477">
            <v>0</v>
          </cell>
          <cell r="F477">
            <v>0</v>
          </cell>
          <cell r="G477">
            <v>0</v>
          </cell>
          <cell r="H477">
            <v>1692</v>
          </cell>
          <cell r="I477">
            <v>0</v>
          </cell>
        </row>
        <row r="478">
          <cell r="C478">
            <v>0</v>
          </cell>
          <cell r="D478" t="str">
            <v>C- EQUIPOS: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</row>
        <row r="479">
          <cell r="C479">
            <v>0</v>
          </cell>
          <cell r="D479" t="str">
            <v>Herramientas de Mano</v>
          </cell>
          <cell r="E479" t="str">
            <v>gl</v>
          </cell>
          <cell r="F479">
            <v>99.140923499999985</v>
          </cell>
          <cell r="G479">
            <v>1</v>
          </cell>
          <cell r="H479">
            <v>99.140923499999985</v>
          </cell>
          <cell r="I479">
            <v>0</v>
          </cell>
        </row>
        <row r="480">
          <cell r="C480">
            <v>0</v>
          </cell>
          <cell r="D480" t="str">
            <v>Hormigonera</v>
          </cell>
          <cell r="E480" t="str">
            <v>hs</v>
          </cell>
          <cell r="F480">
            <v>200</v>
          </cell>
          <cell r="G480">
            <v>0.1</v>
          </cell>
          <cell r="H480">
            <v>20</v>
          </cell>
          <cell r="I480">
            <v>0</v>
          </cell>
        </row>
        <row r="481">
          <cell r="C481">
            <v>0</v>
          </cell>
          <cell r="D481" t="str">
            <v>-</v>
          </cell>
          <cell r="E481" t="str">
            <v>-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</row>
        <row r="482">
          <cell r="C482">
            <v>0</v>
          </cell>
          <cell r="D482" t="str">
            <v>-</v>
          </cell>
          <cell r="E482" t="str">
            <v>-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</row>
        <row r="483">
          <cell r="C483">
            <v>0</v>
          </cell>
          <cell r="D483" t="str">
            <v>-</v>
          </cell>
          <cell r="E483" t="str">
            <v>-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</row>
        <row r="484">
          <cell r="C484">
            <v>0</v>
          </cell>
          <cell r="D484" t="str">
            <v>SUB TOTAL EQUIPOS</v>
          </cell>
          <cell r="E484">
            <v>0</v>
          </cell>
          <cell r="F484">
            <v>0</v>
          </cell>
          <cell r="G484">
            <v>0</v>
          </cell>
          <cell r="H484">
            <v>119.14092349999999</v>
          </cell>
          <cell r="I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</row>
        <row r="486">
          <cell r="B486">
            <v>9</v>
          </cell>
          <cell r="C486">
            <v>0</v>
          </cell>
          <cell r="D486" t="str">
            <v>COSTO-COSTO</v>
          </cell>
          <cell r="E486">
            <v>0</v>
          </cell>
          <cell r="F486">
            <v>0</v>
          </cell>
          <cell r="G486">
            <v>0</v>
          </cell>
          <cell r="H486">
            <v>3423.8383734999998</v>
          </cell>
          <cell r="I486">
            <v>0</v>
          </cell>
        </row>
        <row r="487">
          <cell r="C487">
            <v>0</v>
          </cell>
          <cell r="D487" t="str">
            <v>GASTO FINANCIERO</v>
          </cell>
          <cell r="E487">
            <v>0</v>
          </cell>
          <cell r="F487">
            <v>0</v>
          </cell>
          <cell r="G487">
            <v>0.02</v>
          </cell>
          <cell r="H487">
            <v>68.476767469999999</v>
          </cell>
          <cell r="I487">
            <v>0</v>
          </cell>
        </row>
        <row r="488">
          <cell r="C488">
            <v>0</v>
          </cell>
          <cell r="D488" t="str">
            <v>SUB TOTAL</v>
          </cell>
          <cell r="E488">
            <v>0</v>
          </cell>
          <cell r="F488">
            <v>0</v>
          </cell>
          <cell r="G488">
            <v>0</v>
          </cell>
          <cell r="H488">
            <v>3492.3151409699999</v>
          </cell>
          <cell r="I488">
            <v>0</v>
          </cell>
        </row>
        <row r="489">
          <cell r="C489">
            <v>0</v>
          </cell>
          <cell r="D489" t="str">
            <v>GASTOS GENERALES</v>
          </cell>
          <cell r="E489">
            <v>0</v>
          </cell>
          <cell r="F489">
            <v>0</v>
          </cell>
          <cell r="G489">
            <v>0.35116211482007981</v>
          </cell>
          <cell r="H489">
            <v>1226.3687705212103</v>
          </cell>
          <cell r="I489">
            <v>0</v>
          </cell>
        </row>
        <row r="490">
          <cell r="C490">
            <v>0</v>
          </cell>
          <cell r="D490" t="str">
            <v>BENEFICIO</v>
          </cell>
          <cell r="E490">
            <v>0</v>
          </cell>
          <cell r="F490">
            <v>0</v>
          </cell>
          <cell r="G490">
            <v>0.1</v>
          </cell>
          <cell r="H490">
            <v>349.231514097</v>
          </cell>
          <cell r="I490">
            <v>0</v>
          </cell>
        </row>
        <row r="491">
          <cell r="C491">
            <v>0</v>
          </cell>
          <cell r="D491" t="str">
            <v>COSTO TOTAL UNITARIO</v>
          </cell>
          <cell r="E491">
            <v>0</v>
          </cell>
          <cell r="F491">
            <v>0</v>
          </cell>
          <cell r="G491">
            <v>0</v>
          </cell>
          <cell r="H491">
            <v>5067.9154255882104</v>
          </cell>
          <cell r="I491">
            <v>0</v>
          </cell>
        </row>
        <row r="492">
          <cell r="C492">
            <v>0</v>
          </cell>
          <cell r="D492" t="str">
            <v>IMPUETOS</v>
          </cell>
          <cell r="E492">
            <v>0</v>
          </cell>
          <cell r="F492" t="str">
            <v>IIBB</v>
          </cell>
          <cell r="G492">
            <v>2.4E-2</v>
          </cell>
          <cell r="H492">
            <v>121.62997021411705</v>
          </cell>
          <cell r="I492">
            <v>0</v>
          </cell>
        </row>
        <row r="493">
          <cell r="C493">
            <v>0</v>
          </cell>
          <cell r="D493">
            <v>0</v>
          </cell>
          <cell r="E493">
            <v>0</v>
          </cell>
          <cell r="F493" t="str">
            <v>IVA</v>
          </cell>
          <cell r="G493">
            <v>0.21</v>
          </cell>
          <cell r="H493">
            <v>1064.2622393735242</v>
          </cell>
          <cell r="I493">
            <v>0</v>
          </cell>
        </row>
        <row r="494"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</row>
        <row r="495">
          <cell r="C495">
            <v>0</v>
          </cell>
          <cell r="D495" t="str">
            <v>PRECIO TOTAL UNITARIO</v>
          </cell>
          <cell r="E495">
            <v>0</v>
          </cell>
          <cell r="F495">
            <v>0</v>
          </cell>
          <cell r="G495">
            <v>0</v>
          </cell>
          <cell r="H495">
            <v>6253.8076351758518</v>
          </cell>
          <cell r="I495">
            <v>0</v>
          </cell>
        </row>
        <row r="496"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</row>
        <row r="497"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</row>
        <row r="498">
          <cell r="C498">
            <v>0</v>
          </cell>
          <cell r="D498" t="str">
            <v>Rubro:</v>
          </cell>
          <cell r="E498">
            <v>3</v>
          </cell>
          <cell r="F498" t="str">
            <v>Albañilería</v>
          </cell>
          <cell r="G498" t="e">
            <v>#NAME?</v>
          </cell>
          <cell r="H498" t="e">
            <v>#NAME?</v>
          </cell>
          <cell r="I498">
            <v>0</v>
          </cell>
        </row>
        <row r="499">
          <cell r="C499">
            <v>0</v>
          </cell>
          <cell r="D499" t="str">
            <v>Sub Rubro:</v>
          </cell>
          <cell r="E499">
            <v>3.5</v>
          </cell>
          <cell r="F499" t="str">
            <v>Hormigón para vigas</v>
          </cell>
          <cell r="G499" t="e">
            <v>#NAME?</v>
          </cell>
          <cell r="H499" t="e">
            <v>#NAME?</v>
          </cell>
          <cell r="I499">
            <v>0</v>
          </cell>
        </row>
        <row r="500">
          <cell r="C500">
            <v>0</v>
          </cell>
          <cell r="D500" t="str">
            <v>Ítem:</v>
          </cell>
          <cell r="E500">
            <v>3.5</v>
          </cell>
          <cell r="F500" t="str">
            <v>Hormigón para vigas</v>
          </cell>
          <cell r="G500" t="e">
            <v>#NAME?</v>
          </cell>
          <cell r="H500" t="e">
            <v>#NAME?</v>
          </cell>
          <cell r="I500">
            <v>0</v>
          </cell>
        </row>
        <row r="501">
          <cell r="C501">
            <v>0</v>
          </cell>
          <cell r="D501" t="str">
            <v>Unida:</v>
          </cell>
          <cell r="E501" t="str">
            <v>m³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</row>
        <row r="502">
          <cell r="C502">
            <v>0</v>
          </cell>
          <cell r="D502" t="str">
            <v>DENOMINACION</v>
          </cell>
          <cell r="E502" t="str">
            <v>UNIDAD</v>
          </cell>
          <cell r="F502" t="str">
            <v>COSTO UNITARIO</v>
          </cell>
          <cell r="G502" t="str">
            <v>RENDIMIENTO POR UNIDAD</v>
          </cell>
          <cell r="H502" t="str">
            <v>COSTO PARCIAL</v>
          </cell>
          <cell r="I502">
            <v>0</v>
          </cell>
        </row>
        <row r="503">
          <cell r="C503">
            <v>0</v>
          </cell>
          <cell r="D503" t="str">
            <v>A- MATERIALES: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</row>
        <row r="504">
          <cell r="C504">
            <v>0</v>
          </cell>
          <cell r="D504" t="str">
            <v>Cemento Normal</v>
          </cell>
          <cell r="E504" t="str">
            <v>kg</v>
          </cell>
          <cell r="F504">
            <v>1.35</v>
          </cell>
          <cell r="G504">
            <v>350</v>
          </cell>
          <cell r="H504">
            <v>472.50000000000006</v>
          </cell>
          <cell r="I504">
            <v>0</v>
          </cell>
        </row>
        <row r="505">
          <cell r="C505">
            <v>0</v>
          </cell>
          <cell r="D505" t="str">
            <v>Arena Mediana</v>
          </cell>
          <cell r="E505" t="str">
            <v>m³</v>
          </cell>
          <cell r="F505">
            <v>100</v>
          </cell>
          <cell r="G505">
            <v>0.7</v>
          </cell>
          <cell r="H505">
            <v>70</v>
          </cell>
          <cell r="I505">
            <v>0</v>
          </cell>
        </row>
        <row r="506">
          <cell r="C506">
            <v>0</v>
          </cell>
          <cell r="D506" t="str">
            <v>Ripio Clasificado</v>
          </cell>
          <cell r="E506" t="str">
            <v>m³</v>
          </cell>
          <cell r="F506">
            <v>90</v>
          </cell>
          <cell r="G506">
            <v>0.7</v>
          </cell>
          <cell r="H506">
            <v>62.999999999999993</v>
          </cell>
          <cell r="I506">
            <v>0</v>
          </cell>
        </row>
        <row r="507">
          <cell r="C507">
            <v>0</v>
          </cell>
          <cell r="D507" t="str">
            <v>Hierro</v>
          </cell>
          <cell r="E507" t="str">
            <v>kg</v>
          </cell>
          <cell r="F507">
            <v>10</v>
          </cell>
          <cell r="G507">
            <v>70</v>
          </cell>
          <cell r="H507">
            <v>700</v>
          </cell>
          <cell r="I507">
            <v>0</v>
          </cell>
        </row>
        <row r="508">
          <cell r="C508">
            <v>0</v>
          </cell>
          <cell r="D508" t="str">
            <v>Alambre Gal. N° 17</v>
          </cell>
          <cell r="E508" t="str">
            <v>kg</v>
          </cell>
          <cell r="F508">
            <v>15</v>
          </cell>
          <cell r="G508">
            <v>5</v>
          </cell>
          <cell r="H508">
            <v>75</v>
          </cell>
          <cell r="I508">
            <v>0</v>
          </cell>
        </row>
        <row r="509">
          <cell r="C509">
            <v>0</v>
          </cell>
          <cell r="D509" t="str">
            <v>Clavos</v>
          </cell>
          <cell r="E509" t="str">
            <v>kg</v>
          </cell>
          <cell r="F509">
            <v>12.247874999999999</v>
          </cell>
          <cell r="G509">
            <v>2</v>
          </cell>
          <cell r="H509">
            <v>24.495749999999997</v>
          </cell>
          <cell r="I509">
            <v>0</v>
          </cell>
        </row>
        <row r="510">
          <cell r="C510">
            <v>0</v>
          </cell>
          <cell r="D510" t="str">
            <v>Fenolico Encofrado</v>
          </cell>
          <cell r="E510" t="str">
            <v>gl</v>
          </cell>
          <cell r="F510">
            <v>180</v>
          </cell>
          <cell r="G510">
            <v>1</v>
          </cell>
          <cell r="H510">
            <v>180</v>
          </cell>
          <cell r="I510">
            <v>0</v>
          </cell>
        </row>
        <row r="511">
          <cell r="C511">
            <v>0</v>
          </cell>
          <cell r="D511">
            <v>0</v>
          </cell>
          <cell r="E511" t="str">
            <v>-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</row>
        <row r="512">
          <cell r="C512">
            <v>0</v>
          </cell>
          <cell r="D512">
            <v>0</v>
          </cell>
          <cell r="E512" t="str">
            <v>-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</row>
        <row r="513">
          <cell r="C513">
            <v>0</v>
          </cell>
          <cell r="D513">
            <v>0</v>
          </cell>
          <cell r="E513" t="str">
            <v>-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</row>
        <row r="514">
          <cell r="C514">
            <v>0</v>
          </cell>
          <cell r="D514">
            <v>0</v>
          </cell>
          <cell r="E514" t="str">
            <v>-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</row>
        <row r="515">
          <cell r="C515">
            <v>0</v>
          </cell>
          <cell r="D515">
            <v>0</v>
          </cell>
          <cell r="E515" t="str">
            <v>-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</row>
        <row r="516">
          <cell r="C516">
            <v>0</v>
          </cell>
          <cell r="D516">
            <v>0</v>
          </cell>
          <cell r="E516" t="str">
            <v>-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</row>
        <row r="517">
          <cell r="C517">
            <v>0</v>
          </cell>
          <cell r="D517">
            <v>0</v>
          </cell>
          <cell r="E517" t="str">
            <v>-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</row>
        <row r="518">
          <cell r="C518">
            <v>0</v>
          </cell>
          <cell r="D518">
            <v>0</v>
          </cell>
          <cell r="E518" t="str">
            <v>-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</row>
        <row r="519">
          <cell r="C519">
            <v>0</v>
          </cell>
          <cell r="D519">
            <v>0</v>
          </cell>
          <cell r="E519" t="str">
            <v>-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</row>
        <row r="520">
          <cell r="C520">
            <v>0</v>
          </cell>
          <cell r="D520">
            <v>0</v>
          </cell>
          <cell r="E520" t="str">
            <v>-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</row>
        <row r="521">
          <cell r="C521">
            <v>0</v>
          </cell>
          <cell r="D521">
            <v>0</v>
          </cell>
          <cell r="E521" t="str">
            <v>-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</row>
        <row r="522">
          <cell r="C522">
            <v>0</v>
          </cell>
          <cell r="D522">
            <v>0</v>
          </cell>
          <cell r="E522" t="str">
            <v>-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</row>
        <row r="523">
          <cell r="C523">
            <v>0</v>
          </cell>
          <cell r="D523">
            <v>0</v>
          </cell>
          <cell r="E523" t="str">
            <v>-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</row>
        <row r="524">
          <cell r="C524">
            <v>0</v>
          </cell>
          <cell r="D524" t="str">
            <v>SUB TOTAL MATERIALES</v>
          </cell>
          <cell r="E524">
            <v>0</v>
          </cell>
          <cell r="F524">
            <v>0</v>
          </cell>
          <cell r="G524">
            <v>0</v>
          </cell>
          <cell r="H524">
            <v>1584.99575</v>
          </cell>
          <cell r="I524">
            <v>0</v>
          </cell>
        </row>
        <row r="525">
          <cell r="C525">
            <v>0</v>
          </cell>
          <cell r="D525" t="str">
            <v>B- MANO DE OBRA: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</row>
        <row r="526">
          <cell r="C526">
            <v>0</v>
          </cell>
          <cell r="D526" t="str">
            <v>Oficial</v>
          </cell>
          <cell r="E526" t="str">
            <v>hs</v>
          </cell>
          <cell r="F526">
            <v>56.619016000000002</v>
          </cell>
          <cell r="G526">
            <v>25</v>
          </cell>
          <cell r="H526">
            <v>1415.4754</v>
          </cell>
          <cell r="I526">
            <v>0</v>
          </cell>
        </row>
        <row r="527">
          <cell r="C527">
            <v>0</v>
          </cell>
          <cell r="D527" t="str">
            <v>Ayudante</v>
          </cell>
          <cell r="E527" t="str">
            <v>hs</v>
          </cell>
          <cell r="F527">
            <v>48.396512000000008</v>
          </cell>
          <cell r="G527">
            <v>5.7137299481417134</v>
          </cell>
          <cell r="H527">
            <v>276.52459999999985</v>
          </cell>
          <cell r="I527">
            <v>0</v>
          </cell>
        </row>
        <row r="528">
          <cell r="C528">
            <v>0</v>
          </cell>
          <cell r="D528" t="str">
            <v>-</v>
          </cell>
          <cell r="E528" t="str">
            <v>-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</row>
        <row r="529">
          <cell r="C529">
            <v>0</v>
          </cell>
          <cell r="D529" t="str">
            <v>-</v>
          </cell>
          <cell r="E529" t="str">
            <v>-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</row>
        <row r="530">
          <cell r="C530">
            <v>0</v>
          </cell>
          <cell r="D530" t="str">
            <v>-</v>
          </cell>
          <cell r="E530" t="str">
            <v>-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</row>
        <row r="531">
          <cell r="C531">
            <v>0</v>
          </cell>
          <cell r="D531" t="str">
            <v>SUB TOTAL MANO DE OBRA</v>
          </cell>
          <cell r="E531">
            <v>0</v>
          </cell>
          <cell r="F531">
            <v>0</v>
          </cell>
          <cell r="G531">
            <v>0</v>
          </cell>
          <cell r="H531">
            <v>1692</v>
          </cell>
          <cell r="I531">
            <v>0</v>
          </cell>
        </row>
        <row r="532">
          <cell r="C532">
            <v>0</v>
          </cell>
          <cell r="D532" t="str">
            <v>C- EQUIPOS: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</row>
        <row r="533">
          <cell r="C533">
            <v>0</v>
          </cell>
          <cell r="D533" t="str">
            <v>Herramientas de Mano</v>
          </cell>
          <cell r="E533" t="str">
            <v>gl</v>
          </cell>
          <cell r="F533">
            <v>98.309872499999997</v>
          </cell>
          <cell r="G533">
            <v>1</v>
          </cell>
          <cell r="H533">
            <v>98.309872499999997</v>
          </cell>
          <cell r="I533">
            <v>0</v>
          </cell>
        </row>
        <row r="534">
          <cell r="C534">
            <v>0</v>
          </cell>
          <cell r="D534" t="str">
            <v>Hormigonera</v>
          </cell>
          <cell r="E534" t="str">
            <v>hs</v>
          </cell>
          <cell r="F534">
            <v>200</v>
          </cell>
          <cell r="G534">
            <v>0.1</v>
          </cell>
          <cell r="H534">
            <v>20</v>
          </cell>
          <cell r="I534">
            <v>0</v>
          </cell>
        </row>
        <row r="535">
          <cell r="C535">
            <v>0</v>
          </cell>
          <cell r="D535" t="str">
            <v>-</v>
          </cell>
          <cell r="E535" t="str">
            <v>-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</row>
        <row r="536">
          <cell r="C536">
            <v>0</v>
          </cell>
          <cell r="D536" t="str">
            <v>-</v>
          </cell>
          <cell r="E536" t="str">
            <v>-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</row>
        <row r="537">
          <cell r="C537">
            <v>0</v>
          </cell>
          <cell r="D537" t="str">
            <v>-</v>
          </cell>
          <cell r="E537" t="str">
            <v>-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</row>
        <row r="538">
          <cell r="C538">
            <v>0</v>
          </cell>
          <cell r="D538" t="str">
            <v>SUB TOTAL EQUIPOS</v>
          </cell>
          <cell r="E538">
            <v>0</v>
          </cell>
          <cell r="F538">
            <v>0</v>
          </cell>
          <cell r="G538">
            <v>0</v>
          </cell>
          <cell r="H538">
            <v>118.3098725</v>
          </cell>
          <cell r="I538">
            <v>0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</row>
        <row r="540">
          <cell r="B540">
            <v>10</v>
          </cell>
          <cell r="C540">
            <v>0</v>
          </cell>
          <cell r="D540" t="str">
            <v>COSTO-COSTO</v>
          </cell>
          <cell r="E540">
            <v>0</v>
          </cell>
          <cell r="F540">
            <v>0</v>
          </cell>
          <cell r="G540">
            <v>0</v>
          </cell>
          <cell r="H540">
            <v>3395.3056225</v>
          </cell>
          <cell r="I540">
            <v>0</v>
          </cell>
        </row>
        <row r="541">
          <cell r="C541">
            <v>0</v>
          </cell>
          <cell r="D541" t="str">
            <v>GASTO FINANCIERO</v>
          </cell>
          <cell r="E541">
            <v>0</v>
          </cell>
          <cell r="F541">
            <v>0</v>
          </cell>
          <cell r="G541">
            <v>0.02</v>
          </cell>
          <cell r="H541">
            <v>67.906112449999995</v>
          </cell>
          <cell r="I541">
            <v>0</v>
          </cell>
        </row>
        <row r="542">
          <cell r="C542">
            <v>0</v>
          </cell>
          <cell r="D542" t="str">
            <v>SUB TOTAL</v>
          </cell>
          <cell r="E542">
            <v>0</v>
          </cell>
          <cell r="F542">
            <v>0</v>
          </cell>
          <cell r="G542">
            <v>0</v>
          </cell>
          <cell r="H542">
            <v>3463.2117349499999</v>
          </cell>
          <cell r="I542">
            <v>0</v>
          </cell>
        </row>
        <row r="543">
          <cell r="C543">
            <v>0</v>
          </cell>
          <cell r="D543" t="str">
            <v>GASTOS GENERALES</v>
          </cell>
          <cell r="E543">
            <v>0</v>
          </cell>
          <cell r="F543">
            <v>0</v>
          </cell>
          <cell r="G543">
            <v>0.35116211482007981</v>
          </cell>
          <cell r="H543">
            <v>1216.1487569147596</v>
          </cell>
          <cell r="I543">
            <v>0</v>
          </cell>
        </row>
        <row r="544">
          <cell r="C544">
            <v>0</v>
          </cell>
          <cell r="D544" t="str">
            <v>BENEFICIO</v>
          </cell>
          <cell r="E544">
            <v>0</v>
          </cell>
          <cell r="F544">
            <v>0</v>
          </cell>
          <cell r="G544">
            <v>0.1</v>
          </cell>
          <cell r="H544">
            <v>346.32117349500004</v>
          </cell>
          <cell r="I544">
            <v>0</v>
          </cell>
        </row>
        <row r="545">
          <cell r="C545">
            <v>0</v>
          </cell>
          <cell r="D545" t="str">
            <v>COSTO TOTAL UNITARIO</v>
          </cell>
          <cell r="E545">
            <v>0</v>
          </cell>
          <cell r="F545">
            <v>0</v>
          </cell>
          <cell r="G545">
            <v>0</v>
          </cell>
          <cell r="H545">
            <v>5025.6816653597598</v>
          </cell>
          <cell r="I545">
            <v>0</v>
          </cell>
        </row>
        <row r="546">
          <cell r="C546">
            <v>0</v>
          </cell>
          <cell r="D546" t="str">
            <v>IMPUETOS</v>
          </cell>
          <cell r="E546">
            <v>0</v>
          </cell>
          <cell r="F546" t="str">
            <v>IIBB</v>
          </cell>
          <cell r="G546">
            <v>2.4E-2</v>
          </cell>
          <cell r="H546">
            <v>120.61635996863424</v>
          </cell>
          <cell r="I546">
            <v>0</v>
          </cell>
        </row>
        <row r="547">
          <cell r="C547">
            <v>0</v>
          </cell>
          <cell r="D547">
            <v>0</v>
          </cell>
          <cell r="E547">
            <v>0</v>
          </cell>
          <cell r="F547" t="str">
            <v>IVA</v>
          </cell>
          <cell r="G547">
            <v>0.21</v>
          </cell>
          <cell r="H547">
            <v>1055.3931497255496</v>
          </cell>
          <cell r="I547">
            <v>0</v>
          </cell>
        </row>
        <row r="548"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</row>
        <row r="549">
          <cell r="C549">
            <v>0</v>
          </cell>
          <cell r="D549" t="str">
            <v>PRECIO TOTAL UNITARIO</v>
          </cell>
          <cell r="E549">
            <v>0</v>
          </cell>
          <cell r="F549">
            <v>0</v>
          </cell>
          <cell r="G549">
            <v>0</v>
          </cell>
          <cell r="H549">
            <v>6201.6911750539439</v>
          </cell>
          <cell r="I549">
            <v>0</v>
          </cell>
        </row>
        <row r="550"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</row>
        <row r="551"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</row>
        <row r="552">
          <cell r="C552">
            <v>0</v>
          </cell>
          <cell r="D552" t="str">
            <v>Rubro:</v>
          </cell>
          <cell r="E552">
            <v>3</v>
          </cell>
          <cell r="F552" t="str">
            <v>Albañilería</v>
          </cell>
          <cell r="G552" t="e">
            <v>#NAME?</v>
          </cell>
          <cell r="H552" t="e">
            <v>#NAME?</v>
          </cell>
          <cell r="I552">
            <v>0</v>
          </cell>
        </row>
        <row r="553">
          <cell r="C553">
            <v>0</v>
          </cell>
          <cell r="D553" t="str">
            <v>Sub Rubro:</v>
          </cell>
          <cell r="E553">
            <v>3.6</v>
          </cell>
          <cell r="F553" t="str">
            <v>Contrapisos de H°</v>
          </cell>
          <cell r="G553" t="e">
            <v>#NAME?</v>
          </cell>
          <cell r="H553" t="e">
            <v>#NAME?</v>
          </cell>
          <cell r="I553">
            <v>0</v>
          </cell>
        </row>
        <row r="554">
          <cell r="C554">
            <v>0</v>
          </cell>
          <cell r="D554" t="str">
            <v>Ítem:</v>
          </cell>
          <cell r="E554">
            <v>3.6</v>
          </cell>
          <cell r="F554" t="str">
            <v>Contrapisos de H°</v>
          </cell>
          <cell r="G554" t="e">
            <v>#NAME?</v>
          </cell>
          <cell r="H554" t="e">
            <v>#NAME?</v>
          </cell>
          <cell r="I554">
            <v>0</v>
          </cell>
        </row>
        <row r="555">
          <cell r="C555">
            <v>0</v>
          </cell>
          <cell r="D555" t="str">
            <v>Unida:</v>
          </cell>
          <cell r="E555" t="str">
            <v>m²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</row>
        <row r="556">
          <cell r="C556">
            <v>0</v>
          </cell>
          <cell r="D556" t="str">
            <v>DENOMINACION</v>
          </cell>
          <cell r="E556" t="str">
            <v>UNIDAD</v>
          </cell>
          <cell r="F556" t="str">
            <v>COSTO UNITARIO</v>
          </cell>
          <cell r="G556" t="str">
            <v>RENDIMIENTO POR UNIDAD</v>
          </cell>
          <cell r="H556" t="str">
            <v>COSTO PARCIAL</v>
          </cell>
          <cell r="I556">
            <v>0</v>
          </cell>
        </row>
        <row r="557">
          <cell r="C557">
            <v>0</v>
          </cell>
          <cell r="D557" t="str">
            <v>A- MATERIALES: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</row>
        <row r="558">
          <cell r="C558">
            <v>0</v>
          </cell>
          <cell r="D558" t="str">
            <v>Cemento Normal</v>
          </cell>
          <cell r="E558" t="str">
            <v>kg</v>
          </cell>
          <cell r="F558">
            <v>1.35</v>
          </cell>
          <cell r="G558">
            <v>40</v>
          </cell>
          <cell r="H558">
            <v>54</v>
          </cell>
          <cell r="I558">
            <v>0</v>
          </cell>
        </row>
        <row r="559">
          <cell r="C559">
            <v>0</v>
          </cell>
          <cell r="D559" t="str">
            <v>Arena Mediana</v>
          </cell>
          <cell r="E559" t="str">
            <v>m³</v>
          </cell>
          <cell r="F559">
            <v>100</v>
          </cell>
          <cell r="G559">
            <v>7.0000000000000007E-2</v>
          </cell>
          <cell r="H559">
            <v>7.0000000000000009</v>
          </cell>
          <cell r="I559">
            <v>0</v>
          </cell>
        </row>
        <row r="560">
          <cell r="C560">
            <v>0</v>
          </cell>
          <cell r="D560" t="str">
            <v>Ripio Clasificado</v>
          </cell>
          <cell r="E560" t="str">
            <v>m³</v>
          </cell>
          <cell r="F560">
            <v>90</v>
          </cell>
          <cell r="G560">
            <v>7.0000000000000007E-2</v>
          </cell>
          <cell r="H560">
            <v>6.3000000000000007</v>
          </cell>
          <cell r="I560">
            <v>0</v>
          </cell>
        </row>
        <row r="561">
          <cell r="C561">
            <v>0</v>
          </cell>
          <cell r="D561" t="str">
            <v>Hierro</v>
          </cell>
          <cell r="E561" t="str">
            <v>kg</v>
          </cell>
          <cell r="F561">
            <v>10</v>
          </cell>
          <cell r="G561">
            <v>2</v>
          </cell>
          <cell r="H561">
            <v>20</v>
          </cell>
          <cell r="I561">
            <v>0</v>
          </cell>
        </row>
        <row r="562">
          <cell r="C562">
            <v>0</v>
          </cell>
          <cell r="D562">
            <v>0</v>
          </cell>
          <cell r="E562" t="str">
            <v>-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</row>
        <row r="563">
          <cell r="C563">
            <v>0</v>
          </cell>
          <cell r="D563">
            <v>0</v>
          </cell>
          <cell r="E563" t="str">
            <v>-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</row>
        <row r="564">
          <cell r="C564">
            <v>0</v>
          </cell>
          <cell r="D564">
            <v>0</v>
          </cell>
          <cell r="E564" t="str">
            <v>-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</row>
        <row r="565">
          <cell r="C565">
            <v>0</v>
          </cell>
          <cell r="D565">
            <v>0</v>
          </cell>
          <cell r="E565" t="str">
            <v>-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</row>
        <row r="566">
          <cell r="C566">
            <v>0</v>
          </cell>
          <cell r="D566">
            <v>0</v>
          </cell>
          <cell r="E566" t="str">
            <v>-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</row>
        <row r="567">
          <cell r="C567">
            <v>0</v>
          </cell>
          <cell r="D567">
            <v>0</v>
          </cell>
          <cell r="E567" t="str">
            <v>-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</row>
        <row r="568">
          <cell r="C568">
            <v>0</v>
          </cell>
          <cell r="D568">
            <v>0</v>
          </cell>
          <cell r="E568" t="str">
            <v>-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</row>
        <row r="569">
          <cell r="C569">
            <v>0</v>
          </cell>
          <cell r="D569">
            <v>0</v>
          </cell>
          <cell r="E569" t="str">
            <v>-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</row>
        <row r="570">
          <cell r="C570">
            <v>0</v>
          </cell>
          <cell r="D570">
            <v>0</v>
          </cell>
          <cell r="E570" t="str">
            <v>-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</row>
        <row r="571">
          <cell r="C571">
            <v>0</v>
          </cell>
          <cell r="D571">
            <v>0</v>
          </cell>
          <cell r="E571" t="str">
            <v>-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</row>
        <row r="572">
          <cell r="C572">
            <v>0</v>
          </cell>
          <cell r="D572">
            <v>0</v>
          </cell>
          <cell r="E572" t="str">
            <v>-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</row>
        <row r="573">
          <cell r="C573">
            <v>0</v>
          </cell>
          <cell r="D573">
            <v>0</v>
          </cell>
          <cell r="E573" t="str">
            <v>-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</row>
        <row r="574">
          <cell r="C574">
            <v>0</v>
          </cell>
          <cell r="D574">
            <v>0</v>
          </cell>
          <cell r="E574" t="str">
            <v>-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</row>
        <row r="575">
          <cell r="C575">
            <v>0</v>
          </cell>
          <cell r="D575">
            <v>0</v>
          </cell>
          <cell r="E575" t="str">
            <v>-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</row>
        <row r="576">
          <cell r="C576">
            <v>0</v>
          </cell>
          <cell r="D576">
            <v>0</v>
          </cell>
          <cell r="E576" t="str">
            <v>-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</row>
        <row r="577">
          <cell r="C577">
            <v>0</v>
          </cell>
          <cell r="D577">
            <v>0</v>
          </cell>
          <cell r="E577" t="str">
            <v>-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</row>
        <row r="578">
          <cell r="C578">
            <v>0</v>
          </cell>
          <cell r="D578" t="str">
            <v>SUB TOTAL MATERIALES</v>
          </cell>
          <cell r="E578">
            <v>0</v>
          </cell>
          <cell r="F578">
            <v>0</v>
          </cell>
          <cell r="G578">
            <v>0</v>
          </cell>
          <cell r="H578">
            <v>87.3</v>
          </cell>
          <cell r="I578">
            <v>0</v>
          </cell>
        </row>
        <row r="579">
          <cell r="C579">
            <v>0</v>
          </cell>
          <cell r="D579" t="str">
            <v>B- MANO DE OBRA: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</row>
        <row r="580">
          <cell r="C580">
            <v>0</v>
          </cell>
          <cell r="D580" t="str">
            <v>Oficial</v>
          </cell>
          <cell r="E580" t="str">
            <v>hs</v>
          </cell>
          <cell r="F580">
            <v>56.619016000000002</v>
          </cell>
          <cell r="G580">
            <v>1.1000000000000001</v>
          </cell>
          <cell r="H580">
            <v>62.280917600000009</v>
          </cell>
          <cell r="I580">
            <v>0</v>
          </cell>
        </row>
        <row r="581">
          <cell r="C581">
            <v>0</v>
          </cell>
          <cell r="D581" t="str">
            <v>Ayudante</v>
          </cell>
          <cell r="E581" t="str">
            <v>hs</v>
          </cell>
          <cell r="F581">
            <v>48.396512000000008</v>
          </cell>
          <cell r="G581">
            <v>1</v>
          </cell>
          <cell r="H581">
            <v>48.396512000000008</v>
          </cell>
          <cell r="I581">
            <v>0</v>
          </cell>
        </row>
        <row r="582">
          <cell r="C582">
            <v>0</v>
          </cell>
          <cell r="D582" t="str">
            <v>-</v>
          </cell>
          <cell r="E582" t="str">
            <v>-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</row>
        <row r="583">
          <cell r="C583">
            <v>0</v>
          </cell>
          <cell r="D583" t="str">
            <v>-</v>
          </cell>
          <cell r="E583" t="str">
            <v>-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</row>
        <row r="584">
          <cell r="C584">
            <v>0</v>
          </cell>
          <cell r="D584" t="str">
            <v>-</v>
          </cell>
          <cell r="E584" t="str">
            <v>-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</row>
        <row r="585">
          <cell r="C585">
            <v>0</v>
          </cell>
          <cell r="D585" t="str">
            <v>SUB TOTAL MANO DE OBRA</v>
          </cell>
          <cell r="E585">
            <v>0</v>
          </cell>
          <cell r="F585">
            <v>0</v>
          </cell>
          <cell r="G585">
            <v>0</v>
          </cell>
          <cell r="H585">
            <v>110.67742960000001</v>
          </cell>
          <cell r="I585">
            <v>0</v>
          </cell>
        </row>
        <row r="586">
          <cell r="C586">
            <v>0</v>
          </cell>
          <cell r="D586" t="str">
            <v>C- EQUIPOS: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</row>
        <row r="587">
          <cell r="C587">
            <v>0</v>
          </cell>
          <cell r="D587" t="str">
            <v>Herramientas de Mano</v>
          </cell>
          <cell r="E587" t="str">
            <v>gl</v>
          </cell>
          <cell r="F587">
            <v>5.9393228879999995</v>
          </cell>
          <cell r="G587">
            <v>1</v>
          </cell>
          <cell r="H587">
            <v>5.9393228879999995</v>
          </cell>
          <cell r="I587">
            <v>0</v>
          </cell>
        </row>
        <row r="588">
          <cell r="C588">
            <v>0</v>
          </cell>
          <cell r="D588" t="str">
            <v>Hormigonera</v>
          </cell>
          <cell r="E588" t="str">
            <v>hs</v>
          </cell>
          <cell r="F588">
            <v>200</v>
          </cell>
          <cell r="G588">
            <v>0.05</v>
          </cell>
          <cell r="H588">
            <v>10</v>
          </cell>
          <cell r="I588">
            <v>0</v>
          </cell>
        </row>
        <row r="589">
          <cell r="C589">
            <v>0</v>
          </cell>
          <cell r="D589" t="str">
            <v>-</v>
          </cell>
          <cell r="E589" t="str">
            <v>-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</row>
        <row r="590">
          <cell r="C590">
            <v>0</v>
          </cell>
          <cell r="D590" t="str">
            <v>-</v>
          </cell>
          <cell r="E590" t="str">
            <v>-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</row>
        <row r="591">
          <cell r="C591">
            <v>0</v>
          </cell>
          <cell r="D591" t="str">
            <v>-</v>
          </cell>
          <cell r="E591" t="str">
            <v>-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</row>
        <row r="592">
          <cell r="C592">
            <v>0</v>
          </cell>
          <cell r="D592" t="str">
            <v>SUB TOTAL EQUIPOS</v>
          </cell>
          <cell r="E592">
            <v>0</v>
          </cell>
          <cell r="F592">
            <v>0</v>
          </cell>
          <cell r="G592">
            <v>0</v>
          </cell>
          <cell r="H592">
            <v>15.939322888</v>
          </cell>
          <cell r="I592">
            <v>0</v>
          </cell>
        </row>
        <row r="593"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</row>
        <row r="594">
          <cell r="B594">
            <v>11</v>
          </cell>
          <cell r="C594">
            <v>0</v>
          </cell>
          <cell r="D594" t="str">
            <v>COSTO-COSTO</v>
          </cell>
          <cell r="E594">
            <v>0</v>
          </cell>
          <cell r="F594">
            <v>0</v>
          </cell>
          <cell r="G594">
            <v>0</v>
          </cell>
          <cell r="H594">
            <v>213.91675248799999</v>
          </cell>
          <cell r="I594">
            <v>0</v>
          </cell>
        </row>
        <row r="595">
          <cell r="C595">
            <v>0</v>
          </cell>
          <cell r="D595" t="str">
            <v>GASTO FINANCIERO</v>
          </cell>
          <cell r="E595">
            <v>0</v>
          </cell>
          <cell r="F595">
            <v>0</v>
          </cell>
          <cell r="G595">
            <v>0.02</v>
          </cell>
          <cell r="H595">
            <v>4.2783350497599999</v>
          </cell>
          <cell r="I595">
            <v>0</v>
          </cell>
        </row>
        <row r="596">
          <cell r="C596">
            <v>0</v>
          </cell>
          <cell r="D596" t="str">
            <v>SUB TOTAL</v>
          </cell>
          <cell r="E596">
            <v>0</v>
          </cell>
          <cell r="F596">
            <v>0</v>
          </cell>
          <cell r="G596">
            <v>0</v>
          </cell>
          <cell r="H596">
            <v>218.19508753775997</v>
          </cell>
          <cell r="I596">
            <v>0</v>
          </cell>
        </row>
        <row r="597">
          <cell r="C597">
            <v>0</v>
          </cell>
          <cell r="D597" t="str">
            <v>GASTOS GENERALES</v>
          </cell>
          <cell r="E597">
            <v>0</v>
          </cell>
          <cell r="F597">
            <v>0</v>
          </cell>
          <cell r="G597">
            <v>0.35116211482007981</v>
          </cell>
          <cell r="H597">
            <v>76.621848383112237</v>
          </cell>
          <cell r="I597">
            <v>0</v>
          </cell>
        </row>
        <row r="598">
          <cell r="C598">
            <v>0</v>
          </cell>
          <cell r="D598" t="str">
            <v>BENEFICIO</v>
          </cell>
          <cell r="E598">
            <v>0</v>
          </cell>
          <cell r="F598">
            <v>0</v>
          </cell>
          <cell r="G598">
            <v>0.1</v>
          </cell>
          <cell r="H598">
            <v>21.819508753775999</v>
          </cell>
          <cell r="I598">
            <v>0</v>
          </cell>
        </row>
        <row r="599">
          <cell r="C599">
            <v>0</v>
          </cell>
          <cell r="D599" t="str">
            <v>COSTO TOTAL UNITARIO</v>
          </cell>
          <cell r="E599">
            <v>0</v>
          </cell>
          <cell r="F599">
            <v>0</v>
          </cell>
          <cell r="G599">
            <v>0</v>
          </cell>
          <cell r="H599">
            <v>316.6364446746482</v>
          </cell>
          <cell r="I599">
            <v>0</v>
          </cell>
        </row>
        <row r="600">
          <cell r="C600">
            <v>0</v>
          </cell>
          <cell r="D600" t="str">
            <v>IMPUETOS</v>
          </cell>
          <cell r="E600">
            <v>0</v>
          </cell>
          <cell r="F600" t="str">
            <v>IIBB</v>
          </cell>
          <cell r="G600">
            <v>2.4E-2</v>
          </cell>
          <cell r="H600">
            <v>7.5992746721915569</v>
          </cell>
          <cell r="I600">
            <v>0</v>
          </cell>
        </row>
        <row r="601">
          <cell r="C601">
            <v>0</v>
          </cell>
          <cell r="D601">
            <v>0</v>
          </cell>
          <cell r="E601">
            <v>0</v>
          </cell>
          <cell r="F601" t="str">
            <v>IVA</v>
          </cell>
          <cell r="G601">
            <v>0.21</v>
          </cell>
          <cell r="H601">
            <v>66.493653381676125</v>
          </cell>
          <cell r="I601">
            <v>0</v>
          </cell>
        </row>
        <row r="602"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</row>
        <row r="603">
          <cell r="C603">
            <v>0</v>
          </cell>
          <cell r="D603" t="str">
            <v>PRECIO TOTAL UNITARIO</v>
          </cell>
          <cell r="E603">
            <v>0</v>
          </cell>
          <cell r="F603">
            <v>0</v>
          </cell>
          <cell r="G603">
            <v>0</v>
          </cell>
          <cell r="H603">
            <v>390.72937272851584</v>
          </cell>
          <cell r="I603">
            <v>0</v>
          </cell>
        </row>
        <row r="604"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</row>
        <row r="605"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</row>
        <row r="606">
          <cell r="C606">
            <v>0</v>
          </cell>
          <cell r="D606" t="str">
            <v>Rubro:</v>
          </cell>
          <cell r="E606">
            <v>3</v>
          </cell>
          <cell r="F606" t="str">
            <v>Albañilería</v>
          </cell>
          <cell r="G606" t="e">
            <v>#NAME?</v>
          </cell>
          <cell r="H606" t="e">
            <v>#NAME?</v>
          </cell>
          <cell r="I606">
            <v>0</v>
          </cell>
        </row>
        <row r="607">
          <cell r="C607">
            <v>0</v>
          </cell>
          <cell r="D607" t="str">
            <v>Sub Rubro:</v>
          </cell>
          <cell r="E607">
            <v>3.7</v>
          </cell>
          <cell r="F607" t="str">
            <v>Hormigón para cimientos</v>
          </cell>
          <cell r="G607" t="e">
            <v>#NAME?</v>
          </cell>
          <cell r="H607" t="e">
            <v>#NAME?</v>
          </cell>
          <cell r="I607">
            <v>0</v>
          </cell>
        </row>
        <row r="608">
          <cell r="C608">
            <v>0</v>
          </cell>
          <cell r="D608" t="str">
            <v>Ítem:</v>
          </cell>
          <cell r="E608">
            <v>3.7</v>
          </cell>
          <cell r="F608" t="str">
            <v>Hormigón para cimientos</v>
          </cell>
          <cell r="G608" t="e">
            <v>#NAME?</v>
          </cell>
          <cell r="H608" t="e">
            <v>#NAME?</v>
          </cell>
          <cell r="I608">
            <v>0</v>
          </cell>
        </row>
        <row r="609">
          <cell r="C609">
            <v>0</v>
          </cell>
          <cell r="D609" t="str">
            <v>Unida:</v>
          </cell>
          <cell r="E609" t="str">
            <v>m³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</row>
        <row r="610">
          <cell r="C610">
            <v>0</v>
          </cell>
          <cell r="D610" t="str">
            <v>DENOMINACION</v>
          </cell>
          <cell r="E610" t="str">
            <v>UNIDAD</v>
          </cell>
          <cell r="F610" t="str">
            <v>COSTO UNITARIO</v>
          </cell>
          <cell r="G610" t="str">
            <v>RENDIMIENTO POR UNIDAD</v>
          </cell>
          <cell r="H610" t="str">
            <v>COSTO PARCIAL</v>
          </cell>
          <cell r="I610">
            <v>0</v>
          </cell>
        </row>
        <row r="611">
          <cell r="C611">
            <v>0</v>
          </cell>
          <cell r="D611" t="str">
            <v>A- MATERIALES: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</row>
        <row r="612">
          <cell r="C612">
            <v>0</v>
          </cell>
          <cell r="D612" t="str">
            <v>Cemento Normal</v>
          </cell>
          <cell r="E612" t="str">
            <v>kg</v>
          </cell>
          <cell r="F612">
            <v>1.35</v>
          </cell>
          <cell r="G612">
            <v>350</v>
          </cell>
          <cell r="H612">
            <v>472.50000000000006</v>
          </cell>
          <cell r="I612">
            <v>0</v>
          </cell>
        </row>
        <row r="613">
          <cell r="C613">
            <v>0</v>
          </cell>
          <cell r="D613" t="str">
            <v>Arena Mediana</v>
          </cell>
          <cell r="E613" t="str">
            <v>m³</v>
          </cell>
          <cell r="F613">
            <v>100</v>
          </cell>
          <cell r="G613">
            <v>0.7</v>
          </cell>
          <cell r="H613">
            <v>70</v>
          </cell>
          <cell r="I613">
            <v>0</v>
          </cell>
        </row>
        <row r="614">
          <cell r="C614">
            <v>0</v>
          </cell>
          <cell r="D614" t="str">
            <v>Ripio Clasificado</v>
          </cell>
          <cell r="E614" t="str">
            <v>m³</v>
          </cell>
          <cell r="F614">
            <v>90</v>
          </cell>
          <cell r="G614">
            <v>0.7</v>
          </cell>
          <cell r="H614">
            <v>62.999999999999993</v>
          </cell>
          <cell r="I614">
            <v>0</v>
          </cell>
        </row>
        <row r="615">
          <cell r="C615">
            <v>0</v>
          </cell>
          <cell r="D615" t="str">
            <v>Hierro</v>
          </cell>
          <cell r="E615" t="str">
            <v>kg</v>
          </cell>
          <cell r="F615">
            <v>10</v>
          </cell>
          <cell r="G615">
            <v>3</v>
          </cell>
          <cell r="H615">
            <v>30</v>
          </cell>
          <cell r="I615">
            <v>0</v>
          </cell>
        </row>
        <row r="616">
          <cell r="C616">
            <v>0</v>
          </cell>
          <cell r="D616" t="str">
            <v>Alambre Gal. N° 17</v>
          </cell>
          <cell r="E616" t="str">
            <v>kg</v>
          </cell>
          <cell r="F616">
            <v>15</v>
          </cell>
          <cell r="G616">
            <v>2</v>
          </cell>
          <cell r="H616">
            <v>30</v>
          </cell>
          <cell r="I616">
            <v>0</v>
          </cell>
        </row>
        <row r="617">
          <cell r="C617">
            <v>0</v>
          </cell>
          <cell r="D617">
            <v>0</v>
          </cell>
          <cell r="E617" t="str">
            <v>-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</row>
        <row r="618">
          <cell r="C618">
            <v>0</v>
          </cell>
          <cell r="D618">
            <v>0</v>
          </cell>
          <cell r="E618" t="str">
            <v>-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</row>
        <row r="619">
          <cell r="C619">
            <v>0</v>
          </cell>
          <cell r="D619">
            <v>0</v>
          </cell>
          <cell r="E619" t="str">
            <v>-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</row>
        <row r="620">
          <cell r="C620">
            <v>0</v>
          </cell>
          <cell r="D620">
            <v>0</v>
          </cell>
          <cell r="E620" t="str">
            <v>-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</row>
        <row r="621">
          <cell r="C621">
            <v>0</v>
          </cell>
          <cell r="D621">
            <v>0</v>
          </cell>
          <cell r="E621" t="str">
            <v>-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</row>
        <row r="622">
          <cell r="C622">
            <v>0</v>
          </cell>
          <cell r="D622">
            <v>0</v>
          </cell>
          <cell r="E622" t="str">
            <v>-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</row>
        <row r="623">
          <cell r="C623">
            <v>0</v>
          </cell>
          <cell r="D623">
            <v>0</v>
          </cell>
          <cell r="E623" t="str">
            <v>-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</row>
        <row r="624">
          <cell r="C624">
            <v>0</v>
          </cell>
          <cell r="D624">
            <v>0</v>
          </cell>
          <cell r="E624" t="str">
            <v>-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</row>
        <row r="625">
          <cell r="C625">
            <v>0</v>
          </cell>
          <cell r="D625">
            <v>0</v>
          </cell>
          <cell r="E625" t="str">
            <v>-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</row>
        <row r="626">
          <cell r="C626">
            <v>0</v>
          </cell>
          <cell r="D626">
            <v>0</v>
          </cell>
          <cell r="E626" t="str">
            <v>-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</row>
        <row r="627">
          <cell r="C627">
            <v>0</v>
          </cell>
          <cell r="D627">
            <v>0</v>
          </cell>
          <cell r="E627" t="str">
            <v>-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</row>
        <row r="628">
          <cell r="C628">
            <v>0</v>
          </cell>
          <cell r="D628">
            <v>0</v>
          </cell>
          <cell r="E628" t="str">
            <v>-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</row>
        <row r="629">
          <cell r="C629">
            <v>0</v>
          </cell>
          <cell r="D629">
            <v>0</v>
          </cell>
          <cell r="E629" t="str">
            <v>-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</row>
        <row r="630">
          <cell r="C630">
            <v>0</v>
          </cell>
          <cell r="D630">
            <v>0</v>
          </cell>
          <cell r="E630" t="str">
            <v>-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</row>
        <row r="631">
          <cell r="C631">
            <v>0</v>
          </cell>
          <cell r="D631">
            <v>0</v>
          </cell>
          <cell r="E631" t="str">
            <v>-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</row>
        <row r="632">
          <cell r="C632">
            <v>0</v>
          </cell>
          <cell r="D632" t="str">
            <v>SUB TOTAL MATERIALES</v>
          </cell>
          <cell r="E632">
            <v>0</v>
          </cell>
          <cell r="F632">
            <v>0</v>
          </cell>
          <cell r="G632">
            <v>0</v>
          </cell>
          <cell r="H632">
            <v>665.5</v>
          </cell>
          <cell r="I632">
            <v>0</v>
          </cell>
        </row>
        <row r="633">
          <cell r="C633">
            <v>0</v>
          </cell>
          <cell r="D633" t="str">
            <v>B- MANO DE OBRA: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</row>
        <row r="634">
          <cell r="C634">
            <v>0</v>
          </cell>
          <cell r="D634" t="str">
            <v>Oficial</v>
          </cell>
          <cell r="E634" t="str">
            <v>hs</v>
          </cell>
          <cell r="F634">
            <v>56.619016000000002</v>
          </cell>
          <cell r="G634">
            <v>10</v>
          </cell>
          <cell r="H634">
            <v>566.19015999999999</v>
          </cell>
          <cell r="I634">
            <v>0</v>
          </cell>
        </row>
        <row r="635">
          <cell r="C635">
            <v>0</v>
          </cell>
          <cell r="D635" t="str">
            <v>Ayudante</v>
          </cell>
          <cell r="E635" t="str">
            <v>hs</v>
          </cell>
          <cell r="F635">
            <v>48.396512000000008</v>
          </cell>
          <cell r="G635">
            <v>5.0377564399682369</v>
          </cell>
          <cell r="H635">
            <v>243.80984000000009</v>
          </cell>
          <cell r="I635">
            <v>0</v>
          </cell>
        </row>
        <row r="636">
          <cell r="C636">
            <v>0</v>
          </cell>
          <cell r="D636" t="str">
            <v>-</v>
          </cell>
          <cell r="E636" t="str">
            <v>-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</row>
        <row r="637">
          <cell r="C637">
            <v>0</v>
          </cell>
          <cell r="D637" t="str">
            <v>-</v>
          </cell>
          <cell r="E637" t="str">
            <v>-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</row>
        <row r="638">
          <cell r="C638">
            <v>0</v>
          </cell>
          <cell r="D638" t="str">
            <v>-</v>
          </cell>
          <cell r="E638" t="str">
            <v>-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</row>
        <row r="639">
          <cell r="C639">
            <v>0</v>
          </cell>
          <cell r="D639" t="str">
            <v>SUB TOTAL MANO DE OBRA</v>
          </cell>
          <cell r="E639">
            <v>0</v>
          </cell>
          <cell r="F639">
            <v>0</v>
          </cell>
          <cell r="G639">
            <v>0</v>
          </cell>
          <cell r="H639">
            <v>810.00000000000011</v>
          </cell>
          <cell r="I639">
            <v>0</v>
          </cell>
        </row>
        <row r="640">
          <cell r="C640">
            <v>0</v>
          </cell>
          <cell r="D640" t="str">
            <v>C- EQUIPOS: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</row>
        <row r="641">
          <cell r="C641">
            <v>0</v>
          </cell>
          <cell r="D641" t="str">
            <v>Herramientas de Mano</v>
          </cell>
          <cell r="E641" t="str">
            <v>gl</v>
          </cell>
          <cell r="F641">
            <v>44.265000000000001</v>
          </cell>
          <cell r="G641">
            <v>1</v>
          </cell>
          <cell r="H641">
            <v>44.265000000000001</v>
          </cell>
          <cell r="I641">
            <v>0</v>
          </cell>
        </row>
        <row r="642">
          <cell r="C642">
            <v>0</v>
          </cell>
          <cell r="D642" t="str">
            <v>Hormigonera</v>
          </cell>
          <cell r="E642" t="str">
            <v>hs</v>
          </cell>
          <cell r="F642">
            <v>200</v>
          </cell>
          <cell r="G642">
            <v>1</v>
          </cell>
          <cell r="H642">
            <v>200</v>
          </cell>
          <cell r="I642">
            <v>0</v>
          </cell>
        </row>
        <row r="643">
          <cell r="C643">
            <v>0</v>
          </cell>
          <cell r="D643" t="str">
            <v>-</v>
          </cell>
          <cell r="E643" t="str">
            <v>-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</row>
        <row r="644">
          <cell r="C644">
            <v>0</v>
          </cell>
          <cell r="D644" t="str">
            <v>-</v>
          </cell>
          <cell r="E644" t="str">
            <v>-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</row>
        <row r="645">
          <cell r="C645">
            <v>0</v>
          </cell>
          <cell r="D645" t="str">
            <v>-</v>
          </cell>
          <cell r="E645" t="str">
            <v>-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</row>
        <row r="646">
          <cell r="C646">
            <v>0</v>
          </cell>
          <cell r="D646" t="str">
            <v>SUB TOTAL EQUIPOS</v>
          </cell>
          <cell r="E646">
            <v>0</v>
          </cell>
          <cell r="F646">
            <v>0</v>
          </cell>
          <cell r="G646">
            <v>0</v>
          </cell>
          <cell r="H646">
            <v>244.26499999999999</v>
          </cell>
          <cell r="I646">
            <v>0</v>
          </cell>
        </row>
        <row r="647"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</row>
        <row r="648">
          <cell r="B648">
            <v>12</v>
          </cell>
          <cell r="C648">
            <v>0</v>
          </cell>
          <cell r="D648" t="str">
            <v>COSTO-COSTO</v>
          </cell>
          <cell r="E648">
            <v>0</v>
          </cell>
          <cell r="F648">
            <v>0</v>
          </cell>
          <cell r="G648">
            <v>0</v>
          </cell>
          <cell r="H648">
            <v>1719.7650000000001</v>
          </cell>
          <cell r="I648">
            <v>0</v>
          </cell>
        </row>
        <row r="649">
          <cell r="C649">
            <v>0</v>
          </cell>
          <cell r="D649" t="str">
            <v>GASTO FINANCIERO</v>
          </cell>
          <cell r="E649">
            <v>0</v>
          </cell>
          <cell r="F649">
            <v>0</v>
          </cell>
          <cell r="G649">
            <v>0.02</v>
          </cell>
          <cell r="H649">
            <v>34.395300000000006</v>
          </cell>
          <cell r="I649">
            <v>0</v>
          </cell>
        </row>
        <row r="650">
          <cell r="C650">
            <v>0</v>
          </cell>
          <cell r="D650" t="str">
            <v>SUB TOTAL</v>
          </cell>
          <cell r="E650">
            <v>0</v>
          </cell>
          <cell r="F650">
            <v>0</v>
          </cell>
          <cell r="G650">
            <v>0</v>
          </cell>
          <cell r="H650">
            <v>1754.1603</v>
          </cell>
          <cell r="I650">
            <v>0</v>
          </cell>
        </row>
        <row r="651">
          <cell r="C651">
            <v>0</v>
          </cell>
          <cell r="D651" t="str">
            <v>GASTOS GENERALES</v>
          </cell>
          <cell r="E651">
            <v>0</v>
          </cell>
          <cell r="F651">
            <v>0</v>
          </cell>
          <cell r="G651">
            <v>0.35116211482007981</v>
          </cell>
          <cell r="H651">
            <v>615.99464068142561</v>
          </cell>
          <cell r="I651">
            <v>0</v>
          </cell>
        </row>
        <row r="652">
          <cell r="C652">
            <v>0</v>
          </cell>
          <cell r="D652" t="str">
            <v>BENEFICIO</v>
          </cell>
          <cell r="E652">
            <v>0</v>
          </cell>
          <cell r="F652">
            <v>0</v>
          </cell>
          <cell r="G652">
            <v>0.1</v>
          </cell>
          <cell r="H652">
            <v>175.41603000000001</v>
          </cell>
          <cell r="I652">
            <v>0</v>
          </cell>
        </row>
        <row r="653">
          <cell r="C653">
            <v>0</v>
          </cell>
          <cell r="D653" t="str">
            <v>COSTO TOTAL UNITARIO</v>
          </cell>
          <cell r="E653">
            <v>0</v>
          </cell>
          <cell r="F653">
            <v>0</v>
          </cell>
          <cell r="G653">
            <v>0</v>
          </cell>
          <cell r="H653">
            <v>2545.5709706814255</v>
          </cell>
          <cell r="I653">
            <v>0</v>
          </cell>
        </row>
        <row r="654">
          <cell r="C654">
            <v>0</v>
          </cell>
          <cell r="D654" t="str">
            <v>IMPUETOS</v>
          </cell>
          <cell r="E654">
            <v>0</v>
          </cell>
          <cell r="F654" t="str">
            <v>IIBB</v>
          </cell>
          <cell r="G654">
            <v>2.4E-2</v>
          </cell>
          <cell r="H654">
            <v>61.093703296354214</v>
          </cell>
          <cell r="I654">
            <v>0</v>
          </cell>
        </row>
        <row r="655">
          <cell r="C655">
            <v>0</v>
          </cell>
          <cell r="D655">
            <v>0</v>
          </cell>
          <cell r="E655">
            <v>0</v>
          </cell>
          <cell r="F655" t="str">
            <v>IVA</v>
          </cell>
          <cell r="G655">
            <v>0.21</v>
          </cell>
          <cell r="H655">
            <v>534.56990384309938</v>
          </cell>
          <cell r="I655">
            <v>0</v>
          </cell>
        </row>
        <row r="656"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</row>
        <row r="657">
          <cell r="C657">
            <v>0</v>
          </cell>
          <cell r="D657" t="str">
            <v>PRECIO TOTAL UNITARIO</v>
          </cell>
          <cell r="E657">
            <v>0</v>
          </cell>
          <cell r="F657">
            <v>0</v>
          </cell>
          <cell r="G657">
            <v>0</v>
          </cell>
          <cell r="H657">
            <v>3141.2345778208792</v>
          </cell>
          <cell r="I657">
            <v>0</v>
          </cell>
        </row>
        <row r="658"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</row>
        <row r="659"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</row>
        <row r="660">
          <cell r="C660">
            <v>0</v>
          </cell>
          <cell r="D660" t="str">
            <v>Rubro:</v>
          </cell>
          <cell r="E660">
            <v>4</v>
          </cell>
          <cell r="F660" t="str">
            <v>Fachada</v>
          </cell>
          <cell r="G660" t="e">
            <v>#NAME?</v>
          </cell>
          <cell r="H660" t="e">
            <v>#NAME?</v>
          </cell>
          <cell r="I660">
            <v>0</v>
          </cell>
        </row>
        <row r="661">
          <cell r="C661">
            <v>0</v>
          </cell>
          <cell r="D661" t="str">
            <v>Sub Rubro:</v>
          </cell>
          <cell r="E661">
            <v>4.0999999999999996</v>
          </cell>
          <cell r="F661" t="str">
            <v>Letrero</v>
          </cell>
          <cell r="G661" t="e">
            <v>#NAME?</v>
          </cell>
          <cell r="H661" t="e">
            <v>#NAME?</v>
          </cell>
          <cell r="I661">
            <v>0</v>
          </cell>
        </row>
        <row r="662">
          <cell r="C662">
            <v>0</v>
          </cell>
          <cell r="D662" t="str">
            <v>Ítem:</v>
          </cell>
          <cell r="E662">
            <v>4.0999999999999996</v>
          </cell>
          <cell r="F662" t="str">
            <v>Letrero</v>
          </cell>
          <cell r="G662" t="e">
            <v>#NAME?</v>
          </cell>
          <cell r="H662" t="e">
            <v>#NAME?</v>
          </cell>
          <cell r="I662">
            <v>0</v>
          </cell>
        </row>
        <row r="663">
          <cell r="C663">
            <v>0</v>
          </cell>
          <cell r="D663" t="str">
            <v>Unida:</v>
          </cell>
          <cell r="E663" t="str">
            <v>gl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</row>
        <row r="664">
          <cell r="C664">
            <v>0</v>
          </cell>
          <cell r="D664" t="str">
            <v>DENOMINACION</v>
          </cell>
          <cell r="E664" t="str">
            <v>UNIDAD</v>
          </cell>
          <cell r="F664" t="str">
            <v>COSTO UNITARIO</v>
          </cell>
          <cell r="G664" t="str">
            <v>RENDIMIENTO POR UNIDAD</v>
          </cell>
          <cell r="H664" t="str">
            <v>COSTO PARCIAL</v>
          </cell>
          <cell r="I664">
            <v>0</v>
          </cell>
        </row>
        <row r="665">
          <cell r="C665">
            <v>0</v>
          </cell>
          <cell r="D665" t="str">
            <v>A- MATERIALES: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</row>
        <row r="666">
          <cell r="C666">
            <v>0</v>
          </cell>
          <cell r="D666" t="str">
            <v>Cartel</v>
          </cell>
          <cell r="E666" t="str">
            <v>gl</v>
          </cell>
          <cell r="F666">
            <v>14030</v>
          </cell>
          <cell r="G666">
            <v>1</v>
          </cell>
          <cell r="H666">
            <v>14030</v>
          </cell>
          <cell r="I666">
            <v>0</v>
          </cell>
        </row>
        <row r="667">
          <cell r="C667">
            <v>0</v>
          </cell>
          <cell r="D667" t="str">
            <v>Luz Cartel</v>
          </cell>
          <cell r="E667" t="str">
            <v>gl</v>
          </cell>
          <cell r="F667">
            <v>4200</v>
          </cell>
          <cell r="G667">
            <v>1</v>
          </cell>
          <cell r="H667">
            <v>4200</v>
          </cell>
          <cell r="I667">
            <v>0</v>
          </cell>
        </row>
        <row r="668">
          <cell r="C668">
            <v>0</v>
          </cell>
          <cell r="D668">
            <v>0</v>
          </cell>
          <cell r="E668" t="str">
            <v>-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</row>
        <row r="669">
          <cell r="C669">
            <v>0</v>
          </cell>
          <cell r="D669">
            <v>0</v>
          </cell>
          <cell r="E669" t="str">
            <v>-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</row>
        <row r="670">
          <cell r="C670">
            <v>0</v>
          </cell>
          <cell r="D670">
            <v>0</v>
          </cell>
          <cell r="E670" t="str">
            <v>-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</row>
        <row r="671">
          <cell r="C671">
            <v>0</v>
          </cell>
          <cell r="D671">
            <v>0</v>
          </cell>
          <cell r="E671" t="str">
            <v>-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</row>
        <row r="672">
          <cell r="C672">
            <v>0</v>
          </cell>
          <cell r="D672">
            <v>0</v>
          </cell>
          <cell r="E672" t="str">
            <v>-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</row>
        <row r="673">
          <cell r="C673">
            <v>0</v>
          </cell>
          <cell r="D673">
            <v>0</v>
          </cell>
          <cell r="E673" t="str">
            <v>-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</row>
        <row r="674">
          <cell r="C674">
            <v>0</v>
          </cell>
          <cell r="D674">
            <v>0</v>
          </cell>
          <cell r="E674" t="str">
            <v>-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</row>
        <row r="675">
          <cell r="C675">
            <v>0</v>
          </cell>
          <cell r="D675">
            <v>0</v>
          </cell>
          <cell r="E675" t="str">
            <v>-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</row>
        <row r="676">
          <cell r="C676">
            <v>0</v>
          </cell>
          <cell r="D676">
            <v>0</v>
          </cell>
          <cell r="E676" t="str">
            <v>-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</row>
        <row r="677">
          <cell r="C677">
            <v>0</v>
          </cell>
          <cell r="D677">
            <v>0</v>
          </cell>
          <cell r="E677" t="str">
            <v>-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</row>
        <row r="678">
          <cell r="C678">
            <v>0</v>
          </cell>
          <cell r="D678">
            <v>0</v>
          </cell>
          <cell r="E678" t="str">
            <v>-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</row>
        <row r="679">
          <cell r="C679">
            <v>0</v>
          </cell>
          <cell r="D679">
            <v>0</v>
          </cell>
          <cell r="E679" t="str">
            <v>-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</row>
        <row r="680">
          <cell r="C680">
            <v>0</v>
          </cell>
          <cell r="D680">
            <v>0</v>
          </cell>
          <cell r="E680" t="str">
            <v>-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</row>
        <row r="681">
          <cell r="C681">
            <v>0</v>
          </cell>
          <cell r="D681">
            <v>0</v>
          </cell>
          <cell r="E681" t="str">
            <v>-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</row>
        <row r="682">
          <cell r="C682">
            <v>0</v>
          </cell>
          <cell r="D682">
            <v>0</v>
          </cell>
          <cell r="E682" t="str">
            <v>-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</row>
        <row r="683">
          <cell r="C683">
            <v>0</v>
          </cell>
          <cell r="D683">
            <v>0</v>
          </cell>
          <cell r="E683" t="str">
            <v>-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</row>
        <row r="684">
          <cell r="C684">
            <v>0</v>
          </cell>
          <cell r="D684">
            <v>0</v>
          </cell>
          <cell r="E684" t="str">
            <v>-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</row>
        <row r="685">
          <cell r="C685">
            <v>0</v>
          </cell>
          <cell r="D685">
            <v>0</v>
          </cell>
          <cell r="E685" t="str">
            <v>-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</row>
        <row r="686">
          <cell r="C686">
            <v>0</v>
          </cell>
          <cell r="D686" t="str">
            <v>SUB TOTAL MATERIALES</v>
          </cell>
          <cell r="E686">
            <v>0</v>
          </cell>
          <cell r="F686">
            <v>0</v>
          </cell>
          <cell r="G686">
            <v>0</v>
          </cell>
          <cell r="H686">
            <v>18230</v>
          </cell>
          <cell r="I686">
            <v>0</v>
          </cell>
        </row>
        <row r="687">
          <cell r="C687">
            <v>0</v>
          </cell>
          <cell r="D687" t="str">
            <v>B- MANO DE OBRA: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</row>
        <row r="688">
          <cell r="C688">
            <v>0</v>
          </cell>
          <cell r="D688" t="str">
            <v>Oficial</v>
          </cell>
          <cell r="E688" t="str">
            <v>hs</v>
          </cell>
          <cell r="F688">
            <v>56.619016000000002</v>
          </cell>
          <cell r="G688">
            <v>10</v>
          </cell>
          <cell r="H688">
            <v>566.19015999999999</v>
          </cell>
          <cell r="I688">
            <v>0</v>
          </cell>
        </row>
        <row r="689">
          <cell r="C689">
            <v>0</v>
          </cell>
          <cell r="D689" t="str">
            <v>Ayudante</v>
          </cell>
          <cell r="E689" t="str">
            <v>hs</v>
          </cell>
          <cell r="F689">
            <v>48.396512000000008</v>
          </cell>
          <cell r="G689">
            <v>7</v>
          </cell>
          <cell r="H689">
            <v>338.77558400000004</v>
          </cell>
          <cell r="I689">
            <v>0</v>
          </cell>
        </row>
        <row r="690">
          <cell r="C690">
            <v>0</v>
          </cell>
          <cell r="D690" t="str">
            <v>-</v>
          </cell>
          <cell r="E690" t="str">
            <v>-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</row>
        <row r="691">
          <cell r="C691">
            <v>0</v>
          </cell>
          <cell r="D691" t="str">
            <v>-</v>
          </cell>
          <cell r="E691" t="str">
            <v>-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</row>
        <row r="692">
          <cell r="C692">
            <v>0</v>
          </cell>
          <cell r="D692" t="str">
            <v>-</v>
          </cell>
          <cell r="E692" t="str">
            <v>-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</row>
        <row r="693">
          <cell r="C693">
            <v>0</v>
          </cell>
          <cell r="D693" t="str">
            <v>SUB TOTAL MANO DE OBRA</v>
          </cell>
          <cell r="E693">
            <v>0</v>
          </cell>
          <cell r="F693">
            <v>0</v>
          </cell>
          <cell r="G693">
            <v>0</v>
          </cell>
          <cell r="H693">
            <v>904.96574400000009</v>
          </cell>
          <cell r="I693">
            <v>0</v>
          </cell>
        </row>
        <row r="694">
          <cell r="C694">
            <v>0</v>
          </cell>
          <cell r="D694" t="str">
            <v>C- EQUIPOS: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</row>
        <row r="695">
          <cell r="C695">
            <v>0</v>
          </cell>
          <cell r="D695" t="str">
            <v>Herramientas de Mano</v>
          </cell>
          <cell r="E695" t="str">
            <v>gl</v>
          </cell>
          <cell r="F695">
            <v>574.04897231999996</v>
          </cell>
          <cell r="G695">
            <v>1</v>
          </cell>
          <cell r="H695">
            <v>574.04897231999996</v>
          </cell>
          <cell r="I695">
            <v>0</v>
          </cell>
        </row>
        <row r="696">
          <cell r="C696">
            <v>0</v>
          </cell>
          <cell r="D696" t="str">
            <v>-</v>
          </cell>
          <cell r="E696" t="str">
            <v>-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</row>
        <row r="697">
          <cell r="C697">
            <v>0</v>
          </cell>
          <cell r="D697" t="str">
            <v>-</v>
          </cell>
          <cell r="E697" t="str">
            <v>-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</row>
        <row r="698">
          <cell r="C698">
            <v>0</v>
          </cell>
          <cell r="D698" t="str">
            <v>-</v>
          </cell>
          <cell r="E698" t="str">
            <v>-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</row>
        <row r="699">
          <cell r="C699">
            <v>0</v>
          </cell>
          <cell r="D699" t="str">
            <v>-</v>
          </cell>
          <cell r="E699" t="str">
            <v>-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</row>
        <row r="700">
          <cell r="C700">
            <v>0</v>
          </cell>
          <cell r="D700" t="str">
            <v>SUB TOTAL EQUIPOS</v>
          </cell>
          <cell r="E700">
            <v>0</v>
          </cell>
          <cell r="F700">
            <v>0</v>
          </cell>
          <cell r="G700">
            <v>0</v>
          </cell>
          <cell r="H700">
            <v>574.04897231999996</v>
          </cell>
          <cell r="I700">
            <v>0</v>
          </cell>
        </row>
        <row r="701"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</row>
        <row r="702">
          <cell r="B702">
            <v>13</v>
          </cell>
          <cell r="C702">
            <v>0</v>
          </cell>
          <cell r="D702" t="str">
            <v>COSTO-COSTO</v>
          </cell>
          <cell r="E702">
            <v>0</v>
          </cell>
          <cell r="F702">
            <v>0</v>
          </cell>
          <cell r="G702">
            <v>0</v>
          </cell>
          <cell r="H702">
            <v>19709.014716320002</v>
          </cell>
          <cell r="I702">
            <v>0</v>
          </cell>
        </row>
        <row r="703">
          <cell r="C703">
            <v>0</v>
          </cell>
          <cell r="D703" t="str">
            <v>GASTO FINANCIERO</v>
          </cell>
          <cell r="E703">
            <v>0</v>
          </cell>
          <cell r="F703">
            <v>0</v>
          </cell>
          <cell r="G703">
            <v>0.02</v>
          </cell>
          <cell r="H703">
            <v>394.18029432640003</v>
          </cell>
          <cell r="I703">
            <v>0</v>
          </cell>
        </row>
        <row r="704">
          <cell r="C704">
            <v>0</v>
          </cell>
          <cell r="D704" t="str">
            <v>SUB TOTAL</v>
          </cell>
          <cell r="E704">
            <v>0</v>
          </cell>
          <cell r="F704">
            <v>0</v>
          </cell>
          <cell r="G704">
            <v>0</v>
          </cell>
          <cell r="H704">
            <v>20103.195010646403</v>
          </cell>
          <cell r="I704">
            <v>0</v>
          </cell>
        </row>
        <row r="705">
          <cell r="C705">
            <v>0</v>
          </cell>
          <cell r="D705" t="str">
            <v>GASTOS GENERALES</v>
          </cell>
          <cell r="E705">
            <v>0</v>
          </cell>
          <cell r="F705">
            <v>0</v>
          </cell>
          <cell r="G705">
            <v>0.35116211482007981</v>
          </cell>
          <cell r="H705">
            <v>7059.480474579068</v>
          </cell>
          <cell r="I705">
            <v>0</v>
          </cell>
        </row>
        <row r="706">
          <cell r="C706">
            <v>0</v>
          </cell>
          <cell r="D706" t="str">
            <v>BENEFICIO</v>
          </cell>
          <cell r="E706">
            <v>0</v>
          </cell>
          <cell r="F706">
            <v>0</v>
          </cell>
          <cell r="G706">
            <v>0.1</v>
          </cell>
          <cell r="H706">
            <v>2010.3195010646405</v>
          </cell>
          <cell r="I706">
            <v>0</v>
          </cell>
        </row>
        <row r="707">
          <cell r="C707">
            <v>0</v>
          </cell>
          <cell r="D707" t="str">
            <v>COSTO TOTAL UNITARIO</v>
          </cell>
          <cell r="E707">
            <v>0</v>
          </cell>
          <cell r="F707">
            <v>0</v>
          </cell>
          <cell r="G707">
            <v>0</v>
          </cell>
          <cell r="H707">
            <v>29172.994986290112</v>
          </cell>
          <cell r="I707">
            <v>0</v>
          </cell>
        </row>
        <row r="708">
          <cell r="C708">
            <v>0</v>
          </cell>
          <cell r="D708" t="str">
            <v>IMPUETOS</v>
          </cell>
          <cell r="E708">
            <v>0</v>
          </cell>
          <cell r="F708" t="str">
            <v>IIBB</v>
          </cell>
          <cell r="G708">
            <v>2.4E-2</v>
          </cell>
          <cell r="H708">
            <v>700.15187967096267</v>
          </cell>
          <cell r="I708">
            <v>0</v>
          </cell>
        </row>
        <row r="709">
          <cell r="C709">
            <v>0</v>
          </cell>
          <cell r="D709">
            <v>0</v>
          </cell>
          <cell r="E709">
            <v>0</v>
          </cell>
          <cell r="F709" t="str">
            <v>IVA</v>
          </cell>
          <cell r="G709">
            <v>0.21</v>
          </cell>
          <cell r="H709">
            <v>6126.3289471209237</v>
          </cell>
          <cell r="I709">
            <v>0</v>
          </cell>
        </row>
        <row r="710"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</row>
        <row r="711">
          <cell r="C711">
            <v>0</v>
          </cell>
          <cell r="D711" t="str">
            <v>PRECIO TOTAL UNITARIO</v>
          </cell>
          <cell r="E711">
            <v>0</v>
          </cell>
          <cell r="F711">
            <v>0</v>
          </cell>
          <cell r="G711">
            <v>0</v>
          </cell>
          <cell r="H711">
            <v>35999.475813081997</v>
          </cell>
          <cell r="I711">
            <v>0</v>
          </cell>
        </row>
        <row r="712"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</row>
        <row r="713"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</row>
        <row r="714">
          <cell r="C714">
            <v>0</v>
          </cell>
          <cell r="D714" t="str">
            <v>Rubro:</v>
          </cell>
          <cell r="E714">
            <v>4</v>
          </cell>
          <cell r="F714" t="str">
            <v>Fachada</v>
          </cell>
          <cell r="G714" t="e">
            <v>#NAME?</v>
          </cell>
          <cell r="H714" t="e">
            <v>#NAME?</v>
          </cell>
          <cell r="I714">
            <v>0</v>
          </cell>
        </row>
        <row r="715">
          <cell r="C715">
            <v>0</v>
          </cell>
          <cell r="D715" t="str">
            <v>Sub Rubro:</v>
          </cell>
          <cell r="E715">
            <v>4.2</v>
          </cell>
          <cell r="F715" t="str">
            <v>Detalles en fachada</v>
          </cell>
          <cell r="G715" t="e">
            <v>#NAME?</v>
          </cell>
          <cell r="H715" t="e">
            <v>#NAME?</v>
          </cell>
          <cell r="I715">
            <v>0</v>
          </cell>
        </row>
        <row r="716">
          <cell r="C716">
            <v>0</v>
          </cell>
          <cell r="D716" t="str">
            <v>Ítem:</v>
          </cell>
          <cell r="E716">
            <v>4.2</v>
          </cell>
          <cell r="F716" t="str">
            <v>Detalles en fachada</v>
          </cell>
          <cell r="G716" t="e">
            <v>#NAME?</v>
          </cell>
          <cell r="H716" t="e">
            <v>#NAME?</v>
          </cell>
          <cell r="I716">
            <v>0</v>
          </cell>
        </row>
        <row r="717">
          <cell r="C717">
            <v>0</v>
          </cell>
          <cell r="D717" t="str">
            <v>Unida:</v>
          </cell>
          <cell r="E717" t="str">
            <v>gl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</row>
        <row r="718">
          <cell r="C718">
            <v>0</v>
          </cell>
          <cell r="D718" t="str">
            <v>DENOMINACION</v>
          </cell>
          <cell r="E718" t="str">
            <v>UNIDAD</v>
          </cell>
          <cell r="F718" t="str">
            <v>COSTO UNITARIO</v>
          </cell>
          <cell r="G718" t="str">
            <v>RENDIMIENTO POR UNIDAD</v>
          </cell>
          <cell r="H718" t="str">
            <v>COSTO PARCIAL</v>
          </cell>
          <cell r="I718">
            <v>0</v>
          </cell>
        </row>
        <row r="719">
          <cell r="C719">
            <v>0</v>
          </cell>
          <cell r="D719" t="str">
            <v>A- MATERIALES: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</row>
        <row r="720">
          <cell r="C720">
            <v>0</v>
          </cell>
          <cell r="D720" t="str">
            <v>Accesorios</v>
          </cell>
          <cell r="E720" t="str">
            <v>gl</v>
          </cell>
          <cell r="F720">
            <v>500</v>
          </cell>
          <cell r="G720">
            <v>1</v>
          </cell>
          <cell r="H720">
            <v>500</v>
          </cell>
          <cell r="I720">
            <v>0</v>
          </cell>
        </row>
        <row r="721">
          <cell r="C721">
            <v>0</v>
          </cell>
          <cell r="D721">
            <v>0</v>
          </cell>
          <cell r="E721" t="str">
            <v>-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</row>
        <row r="722">
          <cell r="C722">
            <v>0</v>
          </cell>
          <cell r="D722">
            <v>0</v>
          </cell>
          <cell r="E722" t="str">
            <v>-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</row>
        <row r="723">
          <cell r="C723">
            <v>0</v>
          </cell>
          <cell r="D723">
            <v>0</v>
          </cell>
          <cell r="E723" t="str">
            <v>-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</row>
        <row r="724">
          <cell r="C724">
            <v>0</v>
          </cell>
          <cell r="D724">
            <v>0</v>
          </cell>
          <cell r="E724" t="str">
            <v>-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</row>
        <row r="725">
          <cell r="C725">
            <v>0</v>
          </cell>
          <cell r="D725">
            <v>0</v>
          </cell>
          <cell r="E725" t="str">
            <v>-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</row>
        <row r="726">
          <cell r="C726">
            <v>0</v>
          </cell>
          <cell r="D726">
            <v>0</v>
          </cell>
          <cell r="E726" t="str">
            <v>-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</row>
        <row r="727">
          <cell r="C727">
            <v>0</v>
          </cell>
          <cell r="D727">
            <v>0</v>
          </cell>
          <cell r="E727" t="str">
            <v>-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</row>
        <row r="728">
          <cell r="C728">
            <v>0</v>
          </cell>
          <cell r="D728">
            <v>0</v>
          </cell>
          <cell r="E728" t="str">
            <v>-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</row>
        <row r="729">
          <cell r="C729">
            <v>0</v>
          </cell>
          <cell r="D729">
            <v>0</v>
          </cell>
          <cell r="E729" t="str">
            <v>-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</row>
        <row r="730">
          <cell r="C730">
            <v>0</v>
          </cell>
          <cell r="D730">
            <v>0</v>
          </cell>
          <cell r="E730" t="str">
            <v>-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</row>
        <row r="731">
          <cell r="C731">
            <v>0</v>
          </cell>
          <cell r="D731">
            <v>0</v>
          </cell>
          <cell r="E731" t="str">
            <v>-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</row>
        <row r="732">
          <cell r="C732">
            <v>0</v>
          </cell>
          <cell r="D732">
            <v>0</v>
          </cell>
          <cell r="E732" t="str">
            <v>-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</row>
        <row r="733">
          <cell r="C733">
            <v>0</v>
          </cell>
          <cell r="D733">
            <v>0</v>
          </cell>
          <cell r="E733" t="str">
            <v>-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</row>
        <row r="734">
          <cell r="C734">
            <v>0</v>
          </cell>
          <cell r="D734">
            <v>0</v>
          </cell>
          <cell r="E734" t="str">
            <v>-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</row>
        <row r="735">
          <cell r="C735">
            <v>0</v>
          </cell>
          <cell r="D735">
            <v>0</v>
          </cell>
          <cell r="E735" t="str">
            <v>-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</row>
        <row r="736">
          <cell r="C736">
            <v>0</v>
          </cell>
          <cell r="D736">
            <v>0</v>
          </cell>
          <cell r="E736" t="str">
            <v>-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</row>
        <row r="737">
          <cell r="C737">
            <v>0</v>
          </cell>
          <cell r="D737">
            <v>0</v>
          </cell>
          <cell r="E737" t="str">
            <v>-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</row>
        <row r="738">
          <cell r="C738">
            <v>0</v>
          </cell>
          <cell r="D738">
            <v>0</v>
          </cell>
          <cell r="E738" t="str">
            <v>-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</row>
        <row r="739">
          <cell r="C739">
            <v>0</v>
          </cell>
          <cell r="D739">
            <v>0</v>
          </cell>
          <cell r="E739" t="str">
            <v>-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</row>
        <row r="740">
          <cell r="C740">
            <v>0</v>
          </cell>
          <cell r="D740" t="str">
            <v>SUB TOTAL MATERIALES</v>
          </cell>
          <cell r="E740">
            <v>0</v>
          </cell>
          <cell r="F740">
            <v>0</v>
          </cell>
          <cell r="G740">
            <v>0</v>
          </cell>
          <cell r="H740">
            <v>500</v>
          </cell>
          <cell r="I740">
            <v>0</v>
          </cell>
        </row>
        <row r="741">
          <cell r="C741">
            <v>0</v>
          </cell>
          <cell r="D741" t="str">
            <v>B- MANO DE OBRA: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</row>
        <row r="742">
          <cell r="C742">
            <v>0</v>
          </cell>
          <cell r="D742" t="str">
            <v>Oficial</v>
          </cell>
          <cell r="E742" t="str">
            <v>hs</v>
          </cell>
          <cell r="F742">
            <v>56.619016000000002</v>
          </cell>
          <cell r="G742">
            <v>50</v>
          </cell>
          <cell r="H742">
            <v>2830.9508000000001</v>
          </cell>
          <cell r="I742">
            <v>0</v>
          </cell>
        </row>
        <row r="743">
          <cell r="C743">
            <v>0</v>
          </cell>
          <cell r="D743" t="str">
            <v>Ayudante</v>
          </cell>
          <cell r="E743" t="str">
            <v>hs</v>
          </cell>
          <cell r="F743">
            <v>48.396512000000008</v>
          </cell>
          <cell r="G743">
            <v>16</v>
          </cell>
          <cell r="H743">
            <v>774.34419200000013</v>
          </cell>
          <cell r="I743">
            <v>0</v>
          </cell>
        </row>
        <row r="744">
          <cell r="C744">
            <v>0</v>
          </cell>
          <cell r="D744" t="str">
            <v>-</v>
          </cell>
          <cell r="E744" t="str">
            <v>-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</row>
        <row r="745">
          <cell r="C745">
            <v>0</v>
          </cell>
          <cell r="D745" t="str">
            <v>-</v>
          </cell>
          <cell r="E745" t="str">
            <v>-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</row>
        <row r="746">
          <cell r="C746">
            <v>0</v>
          </cell>
          <cell r="D746" t="str">
            <v>-</v>
          </cell>
          <cell r="E746" t="str">
            <v>-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</row>
        <row r="747">
          <cell r="C747">
            <v>0</v>
          </cell>
          <cell r="D747" t="str">
            <v>SUB TOTAL MANO DE OBRA</v>
          </cell>
          <cell r="E747">
            <v>0</v>
          </cell>
          <cell r="F747">
            <v>0</v>
          </cell>
          <cell r="G747">
            <v>0</v>
          </cell>
          <cell r="H747">
            <v>3605.2949920000001</v>
          </cell>
          <cell r="I747">
            <v>0</v>
          </cell>
        </row>
        <row r="748">
          <cell r="C748">
            <v>0</v>
          </cell>
          <cell r="D748" t="str">
            <v>C- EQUIPOS: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</row>
        <row r="749">
          <cell r="C749">
            <v>0</v>
          </cell>
          <cell r="D749" t="str">
            <v>Herramientas de Mano</v>
          </cell>
          <cell r="E749" t="str">
            <v>gl</v>
          </cell>
          <cell r="F749">
            <v>123.15884976</v>
          </cell>
          <cell r="G749">
            <v>1</v>
          </cell>
          <cell r="H749">
            <v>123.15884976</v>
          </cell>
          <cell r="I749">
            <v>0</v>
          </cell>
        </row>
        <row r="750">
          <cell r="C750">
            <v>0</v>
          </cell>
          <cell r="D750" t="str">
            <v>-</v>
          </cell>
          <cell r="E750" t="str">
            <v>-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</row>
        <row r="751">
          <cell r="C751">
            <v>0</v>
          </cell>
          <cell r="D751" t="str">
            <v>-</v>
          </cell>
          <cell r="E751" t="str">
            <v>-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</row>
        <row r="752">
          <cell r="C752">
            <v>0</v>
          </cell>
          <cell r="D752" t="str">
            <v>-</v>
          </cell>
          <cell r="E752" t="str">
            <v>-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</row>
        <row r="753">
          <cell r="C753">
            <v>0</v>
          </cell>
          <cell r="D753" t="str">
            <v>-</v>
          </cell>
          <cell r="E753" t="str">
            <v>-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</row>
        <row r="754">
          <cell r="C754">
            <v>0</v>
          </cell>
          <cell r="D754" t="str">
            <v>SUB TOTAL EQUIPOS</v>
          </cell>
          <cell r="E754">
            <v>0</v>
          </cell>
          <cell r="F754">
            <v>0</v>
          </cell>
          <cell r="G754">
            <v>0</v>
          </cell>
          <cell r="H754">
            <v>123.15884976</v>
          </cell>
          <cell r="I754">
            <v>0</v>
          </cell>
        </row>
        <row r="755"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</row>
        <row r="756">
          <cell r="B756">
            <v>14</v>
          </cell>
          <cell r="C756">
            <v>0</v>
          </cell>
          <cell r="D756" t="str">
            <v>COSTO-COSTO</v>
          </cell>
          <cell r="E756">
            <v>0</v>
          </cell>
          <cell r="F756">
            <v>0</v>
          </cell>
          <cell r="G756">
            <v>0</v>
          </cell>
          <cell r="H756">
            <v>4228.4538417599997</v>
          </cell>
          <cell r="I756">
            <v>0</v>
          </cell>
        </row>
        <row r="757">
          <cell r="C757">
            <v>0</v>
          </cell>
          <cell r="D757" t="str">
            <v>GASTO FINANCIERO</v>
          </cell>
          <cell r="E757">
            <v>0</v>
          </cell>
          <cell r="F757">
            <v>0</v>
          </cell>
          <cell r="G757">
            <v>0.02</v>
          </cell>
          <cell r="H757">
            <v>84.569076835199994</v>
          </cell>
          <cell r="I757">
            <v>0</v>
          </cell>
        </row>
        <row r="758">
          <cell r="C758">
            <v>0</v>
          </cell>
          <cell r="D758" t="str">
            <v>SUB TOTAL</v>
          </cell>
          <cell r="E758">
            <v>0</v>
          </cell>
          <cell r="F758">
            <v>0</v>
          </cell>
          <cell r="G758">
            <v>0</v>
          </cell>
          <cell r="H758">
            <v>4313.0229185951994</v>
          </cell>
          <cell r="I758">
            <v>0</v>
          </cell>
        </row>
        <row r="759">
          <cell r="C759">
            <v>0</v>
          </cell>
          <cell r="D759" t="str">
            <v>GASTOS GENERALES</v>
          </cell>
          <cell r="E759">
            <v>0</v>
          </cell>
          <cell r="F759">
            <v>0</v>
          </cell>
          <cell r="G759">
            <v>0.35116211482007981</v>
          </cell>
          <cell r="H759">
            <v>1514.570249361363</v>
          </cell>
          <cell r="I759">
            <v>0</v>
          </cell>
        </row>
        <row r="760">
          <cell r="C760">
            <v>0</v>
          </cell>
          <cell r="D760" t="str">
            <v>BENEFICIO</v>
          </cell>
          <cell r="E760">
            <v>0</v>
          </cell>
          <cell r="F760">
            <v>0</v>
          </cell>
          <cell r="G760">
            <v>0.1</v>
          </cell>
          <cell r="H760">
            <v>431.30229185951998</v>
          </cell>
          <cell r="I760">
            <v>0</v>
          </cell>
        </row>
        <row r="761">
          <cell r="C761">
            <v>0</v>
          </cell>
          <cell r="D761" t="str">
            <v>COSTO TOTAL UNITARIO</v>
          </cell>
          <cell r="E761">
            <v>0</v>
          </cell>
          <cell r="F761">
            <v>0</v>
          </cell>
          <cell r="G761">
            <v>0</v>
          </cell>
          <cell r="H761">
            <v>6258.8954598160817</v>
          </cell>
          <cell r="I761">
            <v>0</v>
          </cell>
        </row>
        <row r="762">
          <cell r="C762">
            <v>0</v>
          </cell>
          <cell r="D762" t="str">
            <v>IMPUETOS</v>
          </cell>
          <cell r="E762">
            <v>0</v>
          </cell>
          <cell r="F762" t="str">
            <v>IIBB</v>
          </cell>
          <cell r="G762">
            <v>2.4E-2</v>
          </cell>
          <cell r="H762">
            <v>150.21349103558597</v>
          </cell>
          <cell r="I762">
            <v>0</v>
          </cell>
        </row>
        <row r="763">
          <cell r="C763">
            <v>0</v>
          </cell>
          <cell r="D763">
            <v>0</v>
          </cell>
          <cell r="E763">
            <v>0</v>
          </cell>
          <cell r="F763" t="str">
            <v>IVA</v>
          </cell>
          <cell r="G763">
            <v>0.21</v>
          </cell>
          <cell r="H763">
            <v>1314.368046561377</v>
          </cell>
          <cell r="I763">
            <v>0</v>
          </cell>
        </row>
        <row r="764"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</row>
        <row r="765">
          <cell r="C765">
            <v>0</v>
          </cell>
          <cell r="D765" t="str">
            <v>PRECIO TOTAL UNITARIO</v>
          </cell>
          <cell r="E765">
            <v>0</v>
          </cell>
          <cell r="F765">
            <v>0</v>
          </cell>
          <cell r="G765">
            <v>0</v>
          </cell>
          <cell r="H765">
            <v>7723.476997413045</v>
          </cell>
          <cell r="I765">
            <v>0</v>
          </cell>
        </row>
        <row r="766"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</row>
        <row r="767"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</row>
        <row r="768">
          <cell r="C768">
            <v>0</v>
          </cell>
          <cell r="D768" t="str">
            <v>Rubro:</v>
          </cell>
          <cell r="E768">
            <v>5</v>
          </cell>
          <cell r="F768" t="str">
            <v>Revestimiento Cerámico</v>
          </cell>
          <cell r="G768" t="e">
            <v>#NAME?</v>
          </cell>
          <cell r="H768" t="e">
            <v>#NAME?</v>
          </cell>
          <cell r="I768">
            <v>0</v>
          </cell>
        </row>
        <row r="769">
          <cell r="C769">
            <v>0</v>
          </cell>
          <cell r="D769" t="str">
            <v>Sub Rubro:</v>
          </cell>
          <cell r="E769">
            <v>5.0999999999999996</v>
          </cell>
          <cell r="F769" t="str">
            <v>En Baños</v>
          </cell>
          <cell r="G769" t="e">
            <v>#NAME?</v>
          </cell>
          <cell r="H769" t="e">
            <v>#NAME?</v>
          </cell>
          <cell r="I769">
            <v>0</v>
          </cell>
        </row>
        <row r="770">
          <cell r="C770">
            <v>0</v>
          </cell>
          <cell r="D770" t="str">
            <v>Ítem:</v>
          </cell>
          <cell r="E770">
            <v>5.0999999999999996</v>
          </cell>
          <cell r="F770" t="str">
            <v>En Baños</v>
          </cell>
          <cell r="G770" t="e">
            <v>#NAME?</v>
          </cell>
          <cell r="H770" t="e">
            <v>#NAME?</v>
          </cell>
          <cell r="I770">
            <v>0</v>
          </cell>
        </row>
        <row r="771">
          <cell r="C771">
            <v>0</v>
          </cell>
          <cell r="D771" t="str">
            <v>Unida:</v>
          </cell>
          <cell r="E771" t="str">
            <v>m²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</row>
        <row r="772">
          <cell r="C772">
            <v>0</v>
          </cell>
          <cell r="D772" t="str">
            <v>DENOMINACION</v>
          </cell>
          <cell r="E772" t="str">
            <v>UNIDAD</v>
          </cell>
          <cell r="F772" t="str">
            <v>COSTO UNITARIO</v>
          </cell>
          <cell r="G772" t="str">
            <v>RENDIMIENTO POR UNIDAD</v>
          </cell>
          <cell r="H772" t="str">
            <v>COSTO PARCIAL</v>
          </cell>
          <cell r="I772">
            <v>0</v>
          </cell>
        </row>
        <row r="773">
          <cell r="C773">
            <v>0</v>
          </cell>
          <cell r="D773" t="str">
            <v>A- MATERIALES: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</row>
        <row r="774">
          <cell r="C774">
            <v>0</v>
          </cell>
          <cell r="D774" t="str">
            <v>Ceramico</v>
          </cell>
          <cell r="E774" t="str">
            <v>m²</v>
          </cell>
          <cell r="F774">
            <v>77.790000000000006</v>
          </cell>
          <cell r="G774">
            <v>1.2</v>
          </cell>
          <cell r="H774">
            <v>93.347999999999999</v>
          </cell>
          <cell r="I774">
            <v>0</v>
          </cell>
        </row>
        <row r="775">
          <cell r="C775">
            <v>0</v>
          </cell>
          <cell r="D775" t="str">
            <v>Pegamento para ceramico</v>
          </cell>
          <cell r="E775" t="str">
            <v>kg</v>
          </cell>
          <cell r="F775">
            <v>3.8</v>
          </cell>
          <cell r="G775">
            <v>7</v>
          </cell>
          <cell r="H775">
            <v>26.599999999999998</v>
          </cell>
          <cell r="I775">
            <v>0</v>
          </cell>
        </row>
        <row r="776">
          <cell r="C776">
            <v>0</v>
          </cell>
          <cell r="D776" t="str">
            <v>Pastina para ceramico</v>
          </cell>
          <cell r="E776" t="str">
            <v>kg</v>
          </cell>
          <cell r="F776">
            <v>13.4</v>
          </cell>
          <cell r="G776">
            <v>1</v>
          </cell>
          <cell r="H776">
            <v>13.4</v>
          </cell>
          <cell r="I776">
            <v>0</v>
          </cell>
        </row>
        <row r="777">
          <cell r="C777">
            <v>0</v>
          </cell>
          <cell r="D777">
            <v>0</v>
          </cell>
          <cell r="E777" t="str">
            <v>-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</row>
        <row r="778">
          <cell r="C778">
            <v>0</v>
          </cell>
          <cell r="D778">
            <v>0</v>
          </cell>
          <cell r="E778" t="str">
            <v>-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</row>
        <row r="779">
          <cell r="C779">
            <v>0</v>
          </cell>
          <cell r="D779">
            <v>0</v>
          </cell>
          <cell r="E779" t="str">
            <v>-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</row>
        <row r="780">
          <cell r="C780">
            <v>0</v>
          </cell>
          <cell r="D780">
            <v>0</v>
          </cell>
          <cell r="E780" t="str">
            <v>-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</row>
        <row r="781">
          <cell r="C781">
            <v>0</v>
          </cell>
          <cell r="D781">
            <v>0</v>
          </cell>
          <cell r="E781" t="str">
            <v>-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</row>
        <row r="782">
          <cell r="C782">
            <v>0</v>
          </cell>
          <cell r="D782">
            <v>0</v>
          </cell>
          <cell r="E782" t="str">
            <v>-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</row>
        <row r="783">
          <cell r="C783">
            <v>0</v>
          </cell>
          <cell r="D783">
            <v>0</v>
          </cell>
          <cell r="E783" t="str">
            <v>-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</row>
        <row r="784">
          <cell r="C784">
            <v>0</v>
          </cell>
          <cell r="D784">
            <v>0</v>
          </cell>
          <cell r="E784" t="str">
            <v>-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</row>
        <row r="785">
          <cell r="C785">
            <v>0</v>
          </cell>
          <cell r="D785">
            <v>0</v>
          </cell>
          <cell r="E785" t="str">
            <v>-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</row>
        <row r="786">
          <cell r="C786">
            <v>0</v>
          </cell>
          <cell r="D786">
            <v>0</v>
          </cell>
          <cell r="E786" t="str">
            <v>-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</row>
        <row r="787">
          <cell r="C787">
            <v>0</v>
          </cell>
          <cell r="D787">
            <v>0</v>
          </cell>
          <cell r="E787" t="str">
            <v>-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</row>
        <row r="788">
          <cell r="C788">
            <v>0</v>
          </cell>
          <cell r="D788">
            <v>0</v>
          </cell>
          <cell r="E788" t="str">
            <v>-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</row>
        <row r="789">
          <cell r="C789">
            <v>0</v>
          </cell>
          <cell r="D789">
            <v>0</v>
          </cell>
          <cell r="E789" t="str">
            <v>-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</row>
        <row r="790">
          <cell r="C790">
            <v>0</v>
          </cell>
          <cell r="D790">
            <v>0</v>
          </cell>
          <cell r="E790" t="str">
            <v>-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</row>
        <row r="791">
          <cell r="C791">
            <v>0</v>
          </cell>
          <cell r="D791">
            <v>0</v>
          </cell>
          <cell r="E791" t="str">
            <v>-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</row>
        <row r="792">
          <cell r="C792">
            <v>0</v>
          </cell>
          <cell r="D792">
            <v>0</v>
          </cell>
          <cell r="E792" t="str">
            <v>-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</row>
        <row r="793">
          <cell r="C793">
            <v>0</v>
          </cell>
          <cell r="D793">
            <v>0</v>
          </cell>
          <cell r="E793" t="str">
            <v>-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</row>
        <row r="794">
          <cell r="C794">
            <v>0</v>
          </cell>
          <cell r="D794" t="str">
            <v>SUB TOTAL MATERIALES</v>
          </cell>
          <cell r="E794">
            <v>0</v>
          </cell>
          <cell r="F794">
            <v>0</v>
          </cell>
          <cell r="G794">
            <v>0</v>
          </cell>
          <cell r="H794">
            <v>133.34799999999998</v>
          </cell>
          <cell r="I794">
            <v>0</v>
          </cell>
        </row>
        <row r="795">
          <cell r="C795">
            <v>0</v>
          </cell>
          <cell r="D795" t="str">
            <v>B- MANO DE OBRA: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</row>
        <row r="796">
          <cell r="C796">
            <v>0</v>
          </cell>
          <cell r="D796" t="str">
            <v>Oficial</v>
          </cell>
          <cell r="E796" t="str">
            <v>hs</v>
          </cell>
          <cell r="F796">
            <v>56.619016000000002</v>
          </cell>
          <cell r="G796">
            <v>1.5</v>
          </cell>
          <cell r="H796">
            <v>84.92852400000001</v>
          </cell>
          <cell r="I796">
            <v>0</v>
          </cell>
        </row>
        <row r="797">
          <cell r="C797">
            <v>0</v>
          </cell>
          <cell r="D797" t="str">
            <v>Ayudante</v>
          </cell>
          <cell r="E797" t="str">
            <v>hs</v>
          </cell>
          <cell r="F797">
            <v>48.396512000000008</v>
          </cell>
          <cell r="G797">
            <v>0.8486453734517061</v>
          </cell>
          <cell r="H797">
            <v>41.071475999999983</v>
          </cell>
          <cell r="I797">
            <v>0</v>
          </cell>
        </row>
        <row r="798">
          <cell r="C798">
            <v>0</v>
          </cell>
          <cell r="D798" t="str">
            <v>-</v>
          </cell>
          <cell r="E798" t="str">
            <v>-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</row>
        <row r="799">
          <cell r="C799">
            <v>0</v>
          </cell>
          <cell r="D799" t="str">
            <v>-</v>
          </cell>
          <cell r="E799" t="str">
            <v>-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</row>
        <row r="800">
          <cell r="C800">
            <v>0</v>
          </cell>
          <cell r="D800" t="str">
            <v>-</v>
          </cell>
          <cell r="E800" t="str">
            <v>-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</row>
        <row r="801">
          <cell r="C801">
            <v>0</v>
          </cell>
          <cell r="D801" t="str">
            <v>SUB TOTAL MANO DE OBRA</v>
          </cell>
          <cell r="E801">
            <v>0</v>
          </cell>
          <cell r="F801">
            <v>0</v>
          </cell>
          <cell r="G801">
            <v>0</v>
          </cell>
          <cell r="H801">
            <v>126</v>
          </cell>
          <cell r="I801">
            <v>0</v>
          </cell>
        </row>
        <row r="802">
          <cell r="C802">
            <v>0</v>
          </cell>
          <cell r="D802" t="str">
            <v>C- EQUIPOS: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</row>
        <row r="803">
          <cell r="C803">
            <v>0</v>
          </cell>
          <cell r="D803" t="str">
            <v>Herramientas de Mano</v>
          </cell>
          <cell r="E803" t="str">
            <v>gl</v>
          </cell>
          <cell r="F803">
            <v>7.7804399999999987</v>
          </cell>
          <cell r="G803">
            <v>1</v>
          </cell>
          <cell r="H803">
            <v>7.7804399999999987</v>
          </cell>
          <cell r="I803">
            <v>0</v>
          </cell>
        </row>
        <row r="804">
          <cell r="C804">
            <v>0</v>
          </cell>
          <cell r="D804" t="str">
            <v>Hormigonera</v>
          </cell>
          <cell r="E804" t="str">
            <v>hs</v>
          </cell>
          <cell r="F804">
            <v>200</v>
          </cell>
          <cell r="G804">
            <v>0.03</v>
          </cell>
          <cell r="H804">
            <v>6</v>
          </cell>
          <cell r="I804">
            <v>0</v>
          </cell>
        </row>
        <row r="805">
          <cell r="C805">
            <v>0</v>
          </cell>
          <cell r="D805" t="str">
            <v>-</v>
          </cell>
          <cell r="E805" t="str">
            <v>-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</row>
        <row r="806">
          <cell r="C806">
            <v>0</v>
          </cell>
          <cell r="D806" t="str">
            <v>-</v>
          </cell>
          <cell r="E806" t="str">
            <v>-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</row>
        <row r="807">
          <cell r="C807">
            <v>0</v>
          </cell>
          <cell r="D807" t="str">
            <v>-</v>
          </cell>
          <cell r="E807" t="str">
            <v>-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</row>
        <row r="808">
          <cell r="C808">
            <v>0</v>
          </cell>
          <cell r="D808" t="str">
            <v>SUB TOTAL EQUIPOS</v>
          </cell>
          <cell r="E808">
            <v>0</v>
          </cell>
          <cell r="F808">
            <v>0</v>
          </cell>
          <cell r="G808">
            <v>0</v>
          </cell>
          <cell r="H808">
            <v>13.780439999999999</v>
          </cell>
          <cell r="I808">
            <v>0</v>
          </cell>
        </row>
        <row r="809"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</row>
        <row r="810">
          <cell r="B810">
            <v>15</v>
          </cell>
          <cell r="C810">
            <v>0</v>
          </cell>
          <cell r="D810" t="str">
            <v>COSTO-COSTO</v>
          </cell>
          <cell r="E810">
            <v>0</v>
          </cell>
          <cell r="F810">
            <v>0</v>
          </cell>
          <cell r="G810">
            <v>0</v>
          </cell>
          <cell r="H810">
            <v>273.12843999999996</v>
          </cell>
          <cell r="I810">
            <v>0</v>
          </cell>
        </row>
        <row r="811">
          <cell r="C811">
            <v>0</v>
          </cell>
          <cell r="D811" t="str">
            <v>GASTO FINANCIERO</v>
          </cell>
          <cell r="E811">
            <v>0</v>
          </cell>
          <cell r="F811">
            <v>0</v>
          </cell>
          <cell r="G811">
            <v>0.02</v>
          </cell>
          <cell r="H811">
            <v>5.4625687999999988</v>
          </cell>
          <cell r="I811">
            <v>0</v>
          </cell>
        </row>
        <row r="812">
          <cell r="C812">
            <v>0</v>
          </cell>
          <cell r="D812" t="str">
            <v>SUB TOTAL</v>
          </cell>
          <cell r="E812">
            <v>0</v>
          </cell>
          <cell r="F812">
            <v>0</v>
          </cell>
          <cell r="G812">
            <v>0</v>
          </cell>
          <cell r="H812">
            <v>278.59100879999994</v>
          </cell>
          <cell r="I812">
            <v>0</v>
          </cell>
        </row>
        <row r="813">
          <cell r="C813">
            <v>0</v>
          </cell>
          <cell r="D813" t="str">
            <v>GASTOS GENERALES</v>
          </cell>
          <cell r="E813">
            <v>0</v>
          </cell>
          <cell r="F813">
            <v>0</v>
          </cell>
          <cell r="G813">
            <v>0.35116211482007981</v>
          </cell>
          <cell r="H813">
            <v>97.830607820067442</v>
          </cell>
          <cell r="I813">
            <v>0</v>
          </cell>
        </row>
        <row r="814">
          <cell r="C814">
            <v>0</v>
          </cell>
          <cell r="D814" t="str">
            <v>BENEFICIO</v>
          </cell>
          <cell r="E814">
            <v>0</v>
          </cell>
          <cell r="F814">
            <v>0</v>
          </cell>
          <cell r="G814">
            <v>0.1</v>
          </cell>
          <cell r="H814">
            <v>27.859100879999996</v>
          </cell>
          <cell r="I814">
            <v>0</v>
          </cell>
        </row>
        <row r="815">
          <cell r="C815">
            <v>0</v>
          </cell>
          <cell r="D815" t="str">
            <v>COSTO TOTAL UNITARIO</v>
          </cell>
          <cell r="E815">
            <v>0</v>
          </cell>
          <cell r="F815">
            <v>0</v>
          </cell>
          <cell r="G815">
            <v>0</v>
          </cell>
          <cell r="H815">
            <v>404.28071750006734</v>
          </cell>
          <cell r="I815">
            <v>0</v>
          </cell>
        </row>
        <row r="816">
          <cell r="C816">
            <v>0</v>
          </cell>
          <cell r="D816" t="str">
            <v>IMPUETOS</v>
          </cell>
          <cell r="E816">
            <v>0</v>
          </cell>
          <cell r="F816" t="str">
            <v>IIBB</v>
          </cell>
          <cell r="G816">
            <v>2.4E-2</v>
          </cell>
          <cell r="H816">
            <v>9.702737220001616</v>
          </cell>
          <cell r="I816">
            <v>0</v>
          </cell>
        </row>
        <row r="817">
          <cell r="C817">
            <v>0</v>
          </cell>
          <cell r="D817">
            <v>0</v>
          </cell>
          <cell r="E817">
            <v>0</v>
          </cell>
          <cell r="F817" t="str">
            <v>IVA</v>
          </cell>
          <cell r="G817">
            <v>0.21</v>
          </cell>
          <cell r="H817">
            <v>84.898950675014135</v>
          </cell>
          <cell r="I817">
            <v>0</v>
          </cell>
        </row>
        <row r="818"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</row>
        <row r="819">
          <cell r="C819">
            <v>0</v>
          </cell>
          <cell r="D819" t="str">
            <v>PRECIO TOTAL UNITARIO</v>
          </cell>
          <cell r="E819">
            <v>0</v>
          </cell>
          <cell r="F819">
            <v>0</v>
          </cell>
          <cell r="G819">
            <v>0</v>
          </cell>
          <cell r="H819">
            <v>498.88240539508308</v>
          </cell>
          <cell r="I819">
            <v>0</v>
          </cell>
        </row>
        <row r="820"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</row>
        <row r="821"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</row>
        <row r="822">
          <cell r="C822">
            <v>0</v>
          </cell>
          <cell r="D822" t="str">
            <v>Rubro:</v>
          </cell>
          <cell r="E822">
            <v>5</v>
          </cell>
          <cell r="F822" t="str">
            <v>Revestimiento Cerámico</v>
          </cell>
          <cell r="G822" t="e">
            <v>#NAME?</v>
          </cell>
          <cell r="H822" t="e">
            <v>#NAME?</v>
          </cell>
          <cell r="I822">
            <v>0</v>
          </cell>
        </row>
        <row r="823">
          <cell r="C823">
            <v>0</v>
          </cell>
          <cell r="D823" t="str">
            <v>Sub Rubro:</v>
          </cell>
          <cell r="E823">
            <v>5.2</v>
          </cell>
          <cell r="F823" t="str">
            <v>En Cocina</v>
          </cell>
          <cell r="G823" t="e">
            <v>#NAME?</v>
          </cell>
          <cell r="H823" t="e">
            <v>#NAME?</v>
          </cell>
          <cell r="I823">
            <v>0</v>
          </cell>
        </row>
        <row r="824">
          <cell r="C824">
            <v>0</v>
          </cell>
          <cell r="D824" t="str">
            <v>Ítem:</v>
          </cell>
          <cell r="E824">
            <v>5.2</v>
          </cell>
          <cell r="F824" t="str">
            <v>En Cocina</v>
          </cell>
          <cell r="G824" t="e">
            <v>#NAME?</v>
          </cell>
          <cell r="H824" t="e">
            <v>#NAME?</v>
          </cell>
          <cell r="I824">
            <v>0</v>
          </cell>
        </row>
        <row r="825">
          <cell r="C825">
            <v>0</v>
          </cell>
          <cell r="D825" t="str">
            <v>Unida:</v>
          </cell>
          <cell r="E825" t="str">
            <v>m²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</row>
        <row r="826">
          <cell r="C826">
            <v>0</v>
          </cell>
          <cell r="D826" t="str">
            <v>DENOMINACION</v>
          </cell>
          <cell r="E826" t="str">
            <v>UNIDAD</v>
          </cell>
          <cell r="F826" t="str">
            <v>COSTO UNITARIO</v>
          </cell>
          <cell r="G826" t="str">
            <v>RENDIMIENTO POR UNIDAD</v>
          </cell>
          <cell r="H826" t="str">
            <v>COSTO PARCIAL</v>
          </cell>
          <cell r="I826">
            <v>0</v>
          </cell>
        </row>
        <row r="827">
          <cell r="C827">
            <v>0</v>
          </cell>
          <cell r="D827" t="str">
            <v>A- MATERIALES: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</row>
        <row r="828">
          <cell r="C828">
            <v>0</v>
          </cell>
          <cell r="D828" t="str">
            <v>Ceramico</v>
          </cell>
          <cell r="E828" t="str">
            <v>m²</v>
          </cell>
          <cell r="F828">
            <v>77.790000000000006</v>
          </cell>
          <cell r="G828">
            <v>1.2</v>
          </cell>
          <cell r="H828">
            <v>93.347999999999999</v>
          </cell>
          <cell r="I828">
            <v>0</v>
          </cell>
        </row>
        <row r="829">
          <cell r="C829">
            <v>0</v>
          </cell>
          <cell r="D829" t="str">
            <v>Pegamento para ceramico</v>
          </cell>
          <cell r="E829" t="str">
            <v>kg</v>
          </cell>
          <cell r="F829">
            <v>3.8</v>
          </cell>
          <cell r="G829">
            <v>7</v>
          </cell>
          <cell r="H829">
            <v>26.599999999999998</v>
          </cell>
          <cell r="I829">
            <v>0</v>
          </cell>
        </row>
        <row r="830">
          <cell r="C830">
            <v>0</v>
          </cell>
          <cell r="D830" t="str">
            <v>Pastina para ceramico</v>
          </cell>
          <cell r="E830" t="str">
            <v>kg</v>
          </cell>
          <cell r="F830">
            <v>13.4</v>
          </cell>
          <cell r="G830">
            <v>1</v>
          </cell>
          <cell r="H830">
            <v>13.4</v>
          </cell>
          <cell r="I830">
            <v>0</v>
          </cell>
        </row>
        <row r="831">
          <cell r="C831">
            <v>0</v>
          </cell>
          <cell r="D831">
            <v>0</v>
          </cell>
          <cell r="E831" t="str">
            <v>-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</row>
        <row r="832">
          <cell r="C832">
            <v>0</v>
          </cell>
          <cell r="D832">
            <v>0</v>
          </cell>
          <cell r="E832" t="str">
            <v>-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</row>
        <row r="833">
          <cell r="C833">
            <v>0</v>
          </cell>
          <cell r="D833">
            <v>0</v>
          </cell>
          <cell r="E833" t="str">
            <v>-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</row>
        <row r="834">
          <cell r="C834">
            <v>0</v>
          </cell>
          <cell r="D834">
            <v>0</v>
          </cell>
          <cell r="E834" t="str">
            <v>-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</row>
        <row r="835">
          <cell r="C835">
            <v>0</v>
          </cell>
          <cell r="D835">
            <v>0</v>
          </cell>
          <cell r="E835" t="str">
            <v>-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</row>
        <row r="836">
          <cell r="C836">
            <v>0</v>
          </cell>
          <cell r="D836">
            <v>0</v>
          </cell>
          <cell r="E836" t="str">
            <v>-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</row>
        <row r="837">
          <cell r="C837">
            <v>0</v>
          </cell>
          <cell r="D837">
            <v>0</v>
          </cell>
          <cell r="E837" t="str">
            <v>-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</row>
        <row r="838">
          <cell r="C838">
            <v>0</v>
          </cell>
          <cell r="D838">
            <v>0</v>
          </cell>
          <cell r="E838" t="str">
            <v>-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</row>
        <row r="839">
          <cell r="C839">
            <v>0</v>
          </cell>
          <cell r="D839">
            <v>0</v>
          </cell>
          <cell r="E839" t="str">
            <v>-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</row>
        <row r="840">
          <cell r="C840">
            <v>0</v>
          </cell>
          <cell r="D840">
            <v>0</v>
          </cell>
          <cell r="E840" t="str">
            <v>-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</row>
        <row r="841">
          <cell r="C841">
            <v>0</v>
          </cell>
          <cell r="D841">
            <v>0</v>
          </cell>
          <cell r="E841" t="str">
            <v>-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</row>
        <row r="842">
          <cell r="C842">
            <v>0</v>
          </cell>
          <cell r="D842">
            <v>0</v>
          </cell>
          <cell r="E842" t="str">
            <v>-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</row>
        <row r="843">
          <cell r="C843">
            <v>0</v>
          </cell>
          <cell r="D843">
            <v>0</v>
          </cell>
          <cell r="E843" t="str">
            <v>-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</row>
        <row r="844">
          <cell r="C844">
            <v>0</v>
          </cell>
          <cell r="D844">
            <v>0</v>
          </cell>
          <cell r="E844" t="str">
            <v>-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</row>
        <row r="845">
          <cell r="C845">
            <v>0</v>
          </cell>
          <cell r="D845">
            <v>0</v>
          </cell>
          <cell r="E845" t="str">
            <v>-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</row>
        <row r="846">
          <cell r="C846">
            <v>0</v>
          </cell>
          <cell r="D846">
            <v>0</v>
          </cell>
          <cell r="E846" t="str">
            <v>-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</row>
        <row r="847">
          <cell r="C847">
            <v>0</v>
          </cell>
          <cell r="D847">
            <v>0</v>
          </cell>
          <cell r="E847" t="str">
            <v>-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</row>
        <row r="848">
          <cell r="C848">
            <v>0</v>
          </cell>
          <cell r="D848" t="str">
            <v>SUB TOTAL MATERIALES</v>
          </cell>
          <cell r="E848">
            <v>0</v>
          </cell>
          <cell r="F848">
            <v>0</v>
          </cell>
          <cell r="G848">
            <v>0</v>
          </cell>
          <cell r="H848">
            <v>133.34799999999998</v>
          </cell>
          <cell r="I848">
            <v>0</v>
          </cell>
        </row>
        <row r="849">
          <cell r="C849">
            <v>0</v>
          </cell>
          <cell r="D849" t="str">
            <v>B- MANO DE OBRA: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</row>
        <row r="850">
          <cell r="C850">
            <v>0</v>
          </cell>
          <cell r="D850" t="str">
            <v>Oficial</v>
          </cell>
          <cell r="E850" t="str">
            <v>hs</v>
          </cell>
          <cell r="F850">
            <v>56.619016000000002</v>
          </cell>
          <cell r="G850">
            <v>1.5</v>
          </cell>
          <cell r="H850">
            <v>84.92852400000001</v>
          </cell>
          <cell r="I850">
            <v>0</v>
          </cell>
        </row>
        <row r="851">
          <cell r="C851">
            <v>0</v>
          </cell>
          <cell r="D851" t="str">
            <v>Ayudante</v>
          </cell>
          <cell r="E851" t="str">
            <v>hs</v>
          </cell>
          <cell r="F851">
            <v>48.396512000000008</v>
          </cell>
          <cell r="G851">
            <v>0.85</v>
          </cell>
          <cell r="H851">
            <v>41.137035200000007</v>
          </cell>
          <cell r="I851">
            <v>0</v>
          </cell>
        </row>
        <row r="852">
          <cell r="C852">
            <v>0</v>
          </cell>
          <cell r="D852" t="str">
            <v>-</v>
          </cell>
          <cell r="E852" t="str">
            <v>-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</row>
        <row r="853">
          <cell r="C853">
            <v>0</v>
          </cell>
          <cell r="D853" t="str">
            <v>-</v>
          </cell>
          <cell r="E853" t="str">
            <v>-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</row>
        <row r="854">
          <cell r="C854">
            <v>0</v>
          </cell>
          <cell r="D854" t="str">
            <v>-</v>
          </cell>
          <cell r="E854" t="str">
            <v>-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</row>
        <row r="855">
          <cell r="C855">
            <v>0</v>
          </cell>
          <cell r="D855" t="str">
            <v>SUB TOTAL MANO DE OBRA</v>
          </cell>
          <cell r="E855">
            <v>0</v>
          </cell>
          <cell r="F855">
            <v>0</v>
          </cell>
          <cell r="G855">
            <v>0</v>
          </cell>
          <cell r="H855">
            <v>126.06555920000002</v>
          </cell>
          <cell r="I855">
            <v>0</v>
          </cell>
        </row>
        <row r="856">
          <cell r="C856">
            <v>0</v>
          </cell>
          <cell r="D856" t="str">
            <v>C- EQUIPOS: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</row>
        <row r="857">
          <cell r="C857">
            <v>0</v>
          </cell>
          <cell r="D857" t="str">
            <v>Herramientas de Mano</v>
          </cell>
          <cell r="E857" t="str">
            <v>gl</v>
          </cell>
          <cell r="F857">
            <v>7.7824067760000002</v>
          </cell>
          <cell r="G857">
            <v>1</v>
          </cell>
          <cell r="H857">
            <v>7.7824067760000002</v>
          </cell>
          <cell r="I857">
            <v>0</v>
          </cell>
        </row>
        <row r="858">
          <cell r="C858">
            <v>0</v>
          </cell>
          <cell r="D858" t="str">
            <v>Hormigonera</v>
          </cell>
          <cell r="E858" t="str">
            <v>hs</v>
          </cell>
          <cell r="F858">
            <v>200</v>
          </cell>
          <cell r="G858">
            <v>0.03</v>
          </cell>
          <cell r="H858">
            <v>6</v>
          </cell>
          <cell r="I858">
            <v>0</v>
          </cell>
        </row>
        <row r="859">
          <cell r="C859">
            <v>0</v>
          </cell>
          <cell r="D859" t="str">
            <v>-</v>
          </cell>
          <cell r="E859" t="str">
            <v>-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</row>
        <row r="860">
          <cell r="C860">
            <v>0</v>
          </cell>
          <cell r="D860" t="str">
            <v>-</v>
          </cell>
          <cell r="E860" t="str">
            <v>-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</row>
        <row r="861">
          <cell r="C861">
            <v>0</v>
          </cell>
          <cell r="D861" t="str">
            <v>-</v>
          </cell>
          <cell r="E861" t="str">
            <v>-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</row>
        <row r="862">
          <cell r="C862">
            <v>0</v>
          </cell>
          <cell r="D862" t="str">
            <v>SUB TOTAL EQUIPOS</v>
          </cell>
          <cell r="E862">
            <v>0</v>
          </cell>
          <cell r="F862">
            <v>0</v>
          </cell>
          <cell r="G862">
            <v>0</v>
          </cell>
          <cell r="H862">
            <v>13.782406776</v>
          </cell>
          <cell r="I862">
            <v>0</v>
          </cell>
        </row>
        <row r="863"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</row>
        <row r="864">
          <cell r="B864">
            <v>16</v>
          </cell>
          <cell r="C864">
            <v>0</v>
          </cell>
          <cell r="D864" t="str">
            <v>COSTO-COSTO</v>
          </cell>
          <cell r="E864">
            <v>0</v>
          </cell>
          <cell r="F864">
            <v>0</v>
          </cell>
          <cell r="G864">
            <v>0</v>
          </cell>
          <cell r="H864">
            <v>273.19596597600002</v>
          </cell>
          <cell r="I864">
            <v>0</v>
          </cell>
        </row>
        <row r="865">
          <cell r="C865">
            <v>0</v>
          </cell>
          <cell r="D865" t="str">
            <v>GASTO FINANCIERO</v>
          </cell>
          <cell r="E865">
            <v>0</v>
          </cell>
          <cell r="F865">
            <v>0</v>
          </cell>
          <cell r="G865">
            <v>0.02</v>
          </cell>
          <cell r="H865">
            <v>5.4639193195200004</v>
          </cell>
          <cell r="I865">
            <v>0</v>
          </cell>
        </row>
        <row r="866">
          <cell r="C866">
            <v>0</v>
          </cell>
          <cell r="D866" t="str">
            <v>SUB TOTAL</v>
          </cell>
          <cell r="E866">
            <v>0</v>
          </cell>
          <cell r="F866">
            <v>0</v>
          </cell>
          <cell r="G866">
            <v>0</v>
          </cell>
          <cell r="H866">
            <v>278.65988529552004</v>
          </cell>
          <cell r="I866">
            <v>0</v>
          </cell>
        </row>
        <row r="867">
          <cell r="C867">
            <v>0</v>
          </cell>
          <cell r="D867" t="str">
            <v>GASTOS GENERALES</v>
          </cell>
          <cell r="E867">
            <v>0</v>
          </cell>
          <cell r="F867">
            <v>0</v>
          </cell>
          <cell r="G867">
            <v>0.35116211482007981</v>
          </cell>
          <cell r="H867">
            <v>97.854794635895672</v>
          </cell>
          <cell r="I867">
            <v>0</v>
          </cell>
        </row>
        <row r="868">
          <cell r="C868">
            <v>0</v>
          </cell>
          <cell r="D868" t="str">
            <v>BENEFICIO</v>
          </cell>
          <cell r="E868">
            <v>0</v>
          </cell>
          <cell r="F868">
            <v>0</v>
          </cell>
          <cell r="G868">
            <v>0.1</v>
          </cell>
          <cell r="H868">
            <v>27.865988529552006</v>
          </cell>
          <cell r="I868">
            <v>0</v>
          </cell>
        </row>
        <row r="869">
          <cell r="C869">
            <v>0</v>
          </cell>
          <cell r="D869" t="str">
            <v>COSTO TOTAL UNITARIO</v>
          </cell>
          <cell r="E869">
            <v>0</v>
          </cell>
          <cell r="F869">
            <v>0</v>
          </cell>
          <cell r="G869">
            <v>0</v>
          </cell>
          <cell r="H869">
            <v>404.38066846096768</v>
          </cell>
          <cell r="I869">
            <v>0</v>
          </cell>
        </row>
        <row r="870">
          <cell r="C870">
            <v>0</v>
          </cell>
          <cell r="D870" t="str">
            <v>IMPUETOS</v>
          </cell>
          <cell r="E870">
            <v>0</v>
          </cell>
          <cell r="F870" t="str">
            <v>IIBB</v>
          </cell>
          <cell r="G870">
            <v>2.4E-2</v>
          </cell>
          <cell r="H870">
            <v>9.7051360430632254</v>
          </cell>
          <cell r="I870">
            <v>0</v>
          </cell>
        </row>
        <row r="871">
          <cell r="C871">
            <v>0</v>
          </cell>
          <cell r="D871">
            <v>0</v>
          </cell>
          <cell r="E871">
            <v>0</v>
          </cell>
          <cell r="F871" t="str">
            <v>IVA</v>
          </cell>
          <cell r="G871">
            <v>0.21</v>
          </cell>
          <cell r="H871">
            <v>84.919940376803211</v>
          </cell>
          <cell r="I871">
            <v>0</v>
          </cell>
        </row>
        <row r="872"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</row>
        <row r="873">
          <cell r="C873">
            <v>0</v>
          </cell>
          <cell r="D873" t="str">
            <v>PRECIO TOTAL UNITARIO</v>
          </cell>
          <cell r="E873">
            <v>0</v>
          </cell>
          <cell r="F873">
            <v>0</v>
          </cell>
          <cell r="G873">
            <v>0</v>
          </cell>
          <cell r="H873">
            <v>499.00574488083413</v>
          </cell>
          <cell r="I873">
            <v>0</v>
          </cell>
        </row>
        <row r="874"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</row>
        <row r="875"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</row>
        <row r="876">
          <cell r="C876">
            <v>0</v>
          </cell>
          <cell r="D876" t="str">
            <v>Rubro:</v>
          </cell>
          <cell r="E876">
            <v>5</v>
          </cell>
          <cell r="F876" t="str">
            <v>Revestimiento Cerámico</v>
          </cell>
          <cell r="G876" t="e">
            <v>#NAME?</v>
          </cell>
          <cell r="H876" t="e">
            <v>#NAME?</v>
          </cell>
          <cell r="I876">
            <v>0</v>
          </cell>
        </row>
        <row r="877">
          <cell r="C877">
            <v>0</v>
          </cell>
          <cell r="D877" t="str">
            <v>Sub Rubro:</v>
          </cell>
          <cell r="E877">
            <v>5.3</v>
          </cell>
          <cell r="F877" t="str">
            <v>Piso Porcelanato</v>
          </cell>
          <cell r="G877" t="e">
            <v>#NAME?</v>
          </cell>
          <cell r="H877" t="e">
            <v>#NAME?</v>
          </cell>
          <cell r="I877">
            <v>0</v>
          </cell>
        </row>
        <row r="878">
          <cell r="C878">
            <v>0</v>
          </cell>
          <cell r="D878" t="str">
            <v>Ítem:</v>
          </cell>
          <cell r="E878">
            <v>5.3</v>
          </cell>
          <cell r="F878" t="str">
            <v>Piso Porcelanato</v>
          </cell>
          <cell r="G878" t="e">
            <v>#NAME?</v>
          </cell>
          <cell r="H878" t="e">
            <v>#NAME?</v>
          </cell>
          <cell r="I878">
            <v>0</v>
          </cell>
        </row>
        <row r="879">
          <cell r="C879">
            <v>0</v>
          </cell>
          <cell r="D879" t="str">
            <v>Unida:</v>
          </cell>
          <cell r="E879" t="str">
            <v>m²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</row>
        <row r="880">
          <cell r="C880">
            <v>0</v>
          </cell>
          <cell r="D880" t="str">
            <v>DENOMINACION</v>
          </cell>
          <cell r="E880" t="str">
            <v>UNIDAD</v>
          </cell>
          <cell r="F880" t="str">
            <v>COSTO UNITARIO</v>
          </cell>
          <cell r="G880" t="str">
            <v>RENDIMIENTO POR UNIDAD</v>
          </cell>
          <cell r="H880" t="str">
            <v>COSTO PARCIAL</v>
          </cell>
          <cell r="I880">
            <v>0</v>
          </cell>
        </row>
        <row r="881">
          <cell r="C881">
            <v>0</v>
          </cell>
          <cell r="D881" t="str">
            <v>A- MATERIALES: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</row>
        <row r="882">
          <cell r="C882">
            <v>0</v>
          </cell>
          <cell r="D882" t="str">
            <v>Porcellanato 50 x 50</v>
          </cell>
          <cell r="E882" t="str">
            <v>m²</v>
          </cell>
          <cell r="F882">
            <v>141.33500000000001</v>
          </cell>
          <cell r="G882">
            <v>1.2</v>
          </cell>
          <cell r="H882">
            <v>169.602</v>
          </cell>
          <cell r="I882">
            <v>0</v>
          </cell>
        </row>
        <row r="883">
          <cell r="C883">
            <v>0</v>
          </cell>
          <cell r="D883" t="str">
            <v>Pegamento p/porcellanato</v>
          </cell>
          <cell r="E883" t="str">
            <v>kg</v>
          </cell>
          <cell r="F883">
            <v>5.75</v>
          </cell>
          <cell r="G883">
            <v>10</v>
          </cell>
          <cell r="H883">
            <v>57.5</v>
          </cell>
          <cell r="I883">
            <v>0</v>
          </cell>
        </row>
        <row r="884">
          <cell r="C884">
            <v>0</v>
          </cell>
          <cell r="D884" t="str">
            <v>Pastina para porcellanato</v>
          </cell>
          <cell r="E884" t="str">
            <v>kg</v>
          </cell>
          <cell r="F884">
            <v>24.5</v>
          </cell>
          <cell r="G884">
            <v>1</v>
          </cell>
          <cell r="H884">
            <v>24.5</v>
          </cell>
          <cell r="I884">
            <v>0</v>
          </cell>
        </row>
        <row r="885">
          <cell r="C885">
            <v>0</v>
          </cell>
          <cell r="D885" t="str">
            <v xml:space="preserve">Accesorios </v>
          </cell>
          <cell r="E885" t="str">
            <v>gl</v>
          </cell>
          <cell r="F885">
            <v>2.5</v>
          </cell>
          <cell r="G885">
            <v>1</v>
          </cell>
          <cell r="H885">
            <v>2.5</v>
          </cell>
          <cell r="I885">
            <v>0</v>
          </cell>
        </row>
        <row r="886">
          <cell r="C886">
            <v>0</v>
          </cell>
          <cell r="D886">
            <v>0</v>
          </cell>
          <cell r="E886" t="str">
            <v>-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</row>
        <row r="887">
          <cell r="C887">
            <v>0</v>
          </cell>
          <cell r="D887">
            <v>0</v>
          </cell>
          <cell r="E887" t="str">
            <v>-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</row>
        <row r="888">
          <cell r="C888">
            <v>0</v>
          </cell>
          <cell r="D888">
            <v>0</v>
          </cell>
          <cell r="E888" t="str">
            <v>-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</row>
        <row r="889">
          <cell r="C889">
            <v>0</v>
          </cell>
          <cell r="D889">
            <v>0</v>
          </cell>
          <cell r="E889" t="str">
            <v>-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</row>
        <row r="890">
          <cell r="C890">
            <v>0</v>
          </cell>
          <cell r="D890">
            <v>0</v>
          </cell>
          <cell r="E890" t="str">
            <v>-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</row>
        <row r="891">
          <cell r="C891">
            <v>0</v>
          </cell>
          <cell r="D891">
            <v>0</v>
          </cell>
          <cell r="E891" t="str">
            <v>-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</row>
        <row r="892">
          <cell r="C892">
            <v>0</v>
          </cell>
          <cell r="D892">
            <v>0</v>
          </cell>
          <cell r="E892" t="str">
            <v>-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</row>
        <row r="893">
          <cell r="C893">
            <v>0</v>
          </cell>
          <cell r="D893">
            <v>0</v>
          </cell>
          <cell r="E893" t="str">
            <v>-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</row>
        <row r="894">
          <cell r="C894">
            <v>0</v>
          </cell>
          <cell r="D894">
            <v>0</v>
          </cell>
          <cell r="E894" t="str">
            <v>-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</row>
        <row r="895">
          <cell r="C895">
            <v>0</v>
          </cell>
          <cell r="D895">
            <v>0</v>
          </cell>
          <cell r="E895" t="str">
            <v>-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</row>
        <row r="896">
          <cell r="C896">
            <v>0</v>
          </cell>
          <cell r="D896">
            <v>0</v>
          </cell>
          <cell r="E896" t="str">
            <v>-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</row>
        <row r="897">
          <cell r="C897">
            <v>0</v>
          </cell>
          <cell r="D897">
            <v>0</v>
          </cell>
          <cell r="E897" t="str">
            <v>-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</row>
        <row r="898">
          <cell r="C898">
            <v>0</v>
          </cell>
          <cell r="D898">
            <v>0</v>
          </cell>
          <cell r="E898" t="str">
            <v>-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</row>
        <row r="899">
          <cell r="C899">
            <v>0</v>
          </cell>
          <cell r="D899">
            <v>0</v>
          </cell>
          <cell r="E899" t="str">
            <v>-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</row>
        <row r="900">
          <cell r="C900">
            <v>0</v>
          </cell>
          <cell r="D900">
            <v>0</v>
          </cell>
          <cell r="E900" t="str">
            <v>-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</row>
        <row r="901">
          <cell r="C901">
            <v>0</v>
          </cell>
          <cell r="D901">
            <v>0</v>
          </cell>
          <cell r="E901" t="str">
            <v>-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</row>
        <row r="902">
          <cell r="C902">
            <v>0</v>
          </cell>
          <cell r="D902" t="str">
            <v>SUB TOTAL MATERIALES</v>
          </cell>
          <cell r="E902">
            <v>0</v>
          </cell>
          <cell r="F902">
            <v>0</v>
          </cell>
          <cell r="G902">
            <v>0</v>
          </cell>
          <cell r="H902">
            <v>254.102</v>
          </cell>
          <cell r="I902">
            <v>0</v>
          </cell>
        </row>
        <row r="903">
          <cell r="C903">
            <v>0</v>
          </cell>
          <cell r="D903" t="str">
            <v>B- MANO DE OBRA: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</row>
        <row r="904">
          <cell r="C904">
            <v>0</v>
          </cell>
          <cell r="D904" t="str">
            <v>Oficial</v>
          </cell>
          <cell r="E904" t="str">
            <v>hs</v>
          </cell>
          <cell r="F904">
            <v>56.619016000000002</v>
          </cell>
          <cell r="G904">
            <v>2</v>
          </cell>
          <cell r="H904">
            <v>113.238032</v>
          </cell>
          <cell r="I904">
            <v>0</v>
          </cell>
        </row>
        <row r="905">
          <cell r="C905">
            <v>0</v>
          </cell>
          <cell r="D905" t="str">
            <v>Ayudante</v>
          </cell>
          <cell r="E905" t="str">
            <v>hs</v>
          </cell>
          <cell r="F905">
            <v>48.396512000000008</v>
          </cell>
          <cell r="G905">
            <v>0.63562365816776234</v>
          </cell>
          <cell r="H905">
            <v>30.761968000000014</v>
          </cell>
          <cell r="I905">
            <v>0</v>
          </cell>
        </row>
        <row r="906">
          <cell r="C906">
            <v>0</v>
          </cell>
          <cell r="D906" t="str">
            <v>-</v>
          </cell>
          <cell r="E906" t="str">
            <v>-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</row>
        <row r="907">
          <cell r="C907">
            <v>0</v>
          </cell>
          <cell r="D907" t="str">
            <v>-</v>
          </cell>
          <cell r="E907" t="str">
            <v>-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</row>
        <row r="908">
          <cell r="C908">
            <v>0</v>
          </cell>
          <cell r="D908" t="str">
            <v>-</v>
          </cell>
          <cell r="E908" t="str">
            <v>-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</row>
        <row r="909">
          <cell r="C909">
            <v>0</v>
          </cell>
          <cell r="D909" t="str">
            <v>SUB TOTAL MANO DE OBRA</v>
          </cell>
          <cell r="E909">
            <v>0</v>
          </cell>
          <cell r="F909">
            <v>0</v>
          </cell>
          <cell r="G909">
            <v>0</v>
          </cell>
          <cell r="H909">
            <v>144.00000000000003</v>
          </cell>
          <cell r="I909">
            <v>0</v>
          </cell>
        </row>
        <row r="910">
          <cell r="C910">
            <v>0</v>
          </cell>
          <cell r="D910" t="str">
            <v>C- EQUIPOS: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</row>
        <row r="911">
          <cell r="C911">
            <v>0</v>
          </cell>
          <cell r="D911" t="str">
            <v>-</v>
          </cell>
          <cell r="E911" t="str">
            <v>-</v>
          </cell>
          <cell r="F911">
            <v>11.943060000000001</v>
          </cell>
          <cell r="G911">
            <v>0</v>
          </cell>
          <cell r="H911">
            <v>0</v>
          </cell>
          <cell r="I911">
            <v>0</v>
          </cell>
        </row>
        <row r="912">
          <cell r="C912">
            <v>0</v>
          </cell>
          <cell r="D912" t="str">
            <v>-</v>
          </cell>
          <cell r="E912" t="str">
            <v>-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</row>
        <row r="913">
          <cell r="C913">
            <v>0</v>
          </cell>
          <cell r="D913" t="str">
            <v>-</v>
          </cell>
          <cell r="E913" t="str">
            <v>-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</row>
        <row r="914">
          <cell r="C914">
            <v>0</v>
          </cell>
          <cell r="D914" t="str">
            <v>-</v>
          </cell>
          <cell r="E914" t="str">
            <v>-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</row>
        <row r="915">
          <cell r="C915">
            <v>0</v>
          </cell>
          <cell r="D915" t="str">
            <v>-</v>
          </cell>
          <cell r="E915" t="str">
            <v>-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</row>
        <row r="916">
          <cell r="C916">
            <v>0</v>
          </cell>
          <cell r="D916" t="str">
            <v>SUB TOTAL EQUIPOS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</row>
        <row r="917"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</row>
        <row r="918">
          <cell r="B918">
            <v>17</v>
          </cell>
          <cell r="C918">
            <v>0</v>
          </cell>
          <cell r="D918" t="str">
            <v>COSTO-COSTO</v>
          </cell>
          <cell r="E918">
            <v>0</v>
          </cell>
          <cell r="F918">
            <v>0</v>
          </cell>
          <cell r="G918">
            <v>0</v>
          </cell>
          <cell r="H918">
            <v>398.10200000000003</v>
          </cell>
          <cell r="I918">
            <v>0</v>
          </cell>
        </row>
        <row r="919">
          <cell r="C919">
            <v>0</v>
          </cell>
          <cell r="D919" t="str">
            <v>GASTO FINANCIERO</v>
          </cell>
          <cell r="E919">
            <v>0</v>
          </cell>
          <cell r="F919">
            <v>0</v>
          </cell>
          <cell r="G919">
            <v>0.02</v>
          </cell>
          <cell r="H919">
            <v>7.9620400000000009</v>
          </cell>
          <cell r="I919">
            <v>0</v>
          </cell>
        </row>
        <row r="920">
          <cell r="C920">
            <v>0</v>
          </cell>
          <cell r="D920" t="str">
            <v>SUB TOTAL</v>
          </cell>
          <cell r="E920">
            <v>0</v>
          </cell>
          <cell r="F920">
            <v>0</v>
          </cell>
          <cell r="G920">
            <v>0</v>
          </cell>
          <cell r="H920">
            <v>406.06404000000003</v>
          </cell>
          <cell r="I920">
            <v>0</v>
          </cell>
        </row>
        <row r="921">
          <cell r="C921">
            <v>0</v>
          </cell>
          <cell r="D921" t="str">
            <v>GASTOS GENERALES</v>
          </cell>
          <cell r="E921">
            <v>0</v>
          </cell>
          <cell r="F921">
            <v>0</v>
          </cell>
          <cell r="G921">
            <v>0.35116211482007981</v>
          </cell>
          <cell r="H921">
            <v>142.5943070387855</v>
          </cell>
          <cell r="I921">
            <v>0</v>
          </cell>
        </row>
        <row r="922">
          <cell r="C922">
            <v>0</v>
          </cell>
          <cell r="D922" t="str">
            <v>BENEFICIO</v>
          </cell>
          <cell r="E922">
            <v>0</v>
          </cell>
          <cell r="F922">
            <v>0</v>
          </cell>
          <cell r="G922">
            <v>0.1</v>
          </cell>
          <cell r="H922">
            <v>40.606404000000005</v>
          </cell>
          <cell r="I922">
            <v>0</v>
          </cell>
        </row>
        <row r="923">
          <cell r="C923">
            <v>0</v>
          </cell>
          <cell r="D923" t="str">
            <v>COSTO TOTAL UNITARIO</v>
          </cell>
          <cell r="E923">
            <v>0</v>
          </cell>
          <cell r="F923">
            <v>0</v>
          </cell>
          <cell r="G923">
            <v>0</v>
          </cell>
          <cell r="H923">
            <v>589.26475103878556</v>
          </cell>
          <cell r="I923">
            <v>0</v>
          </cell>
        </row>
        <row r="924">
          <cell r="C924">
            <v>0</v>
          </cell>
          <cell r="D924" t="str">
            <v>IMPUETOS</v>
          </cell>
          <cell r="E924">
            <v>0</v>
          </cell>
          <cell r="F924" t="str">
            <v>IIBB</v>
          </cell>
          <cell r="G924">
            <v>2.4E-2</v>
          </cell>
          <cell r="H924">
            <v>14.142354024930853</v>
          </cell>
          <cell r="I924">
            <v>0</v>
          </cell>
        </row>
        <row r="925">
          <cell r="C925">
            <v>0</v>
          </cell>
          <cell r="D925">
            <v>0</v>
          </cell>
          <cell r="E925">
            <v>0</v>
          </cell>
          <cell r="F925" t="str">
            <v>IVA</v>
          </cell>
          <cell r="G925">
            <v>0.21</v>
          </cell>
          <cell r="H925">
            <v>123.74559771814496</v>
          </cell>
          <cell r="I925">
            <v>0</v>
          </cell>
        </row>
        <row r="926"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</row>
        <row r="927">
          <cell r="C927">
            <v>0</v>
          </cell>
          <cell r="D927" t="str">
            <v>PRECIO TOTAL UNITARIO</v>
          </cell>
          <cell r="E927">
            <v>0</v>
          </cell>
          <cell r="F927">
            <v>0</v>
          </cell>
          <cell r="G927">
            <v>0</v>
          </cell>
          <cell r="H927">
            <v>727.15270278186142</v>
          </cell>
          <cell r="I927">
            <v>0</v>
          </cell>
        </row>
        <row r="928"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</row>
        <row r="929"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</row>
        <row r="930">
          <cell r="C930">
            <v>0</v>
          </cell>
          <cell r="D930" t="str">
            <v>Rubro:</v>
          </cell>
          <cell r="E930">
            <v>5</v>
          </cell>
          <cell r="F930" t="str">
            <v>Revestimiento Cerámico</v>
          </cell>
          <cell r="G930" t="e">
            <v>#NAME?</v>
          </cell>
          <cell r="H930" t="e">
            <v>#NAME?</v>
          </cell>
          <cell r="I930">
            <v>0</v>
          </cell>
        </row>
        <row r="931">
          <cell r="C931">
            <v>0</v>
          </cell>
          <cell r="D931" t="str">
            <v>Sub Rubro:</v>
          </cell>
          <cell r="E931">
            <v>5.4</v>
          </cell>
          <cell r="F931" t="str">
            <v>Pulido de Travertino</v>
          </cell>
          <cell r="G931" t="e">
            <v>#NAME?</v>
          </cell>
          <cell r="H931" t="e">
            <v>#NAME?</v>
          </cell>
          <cell r="I931">
            <v>0</v>
          </cell>
        </row>
        <row r="932">
          <cell r="C932">
            <v>0</v>
          </cell>
          <cell r="D932" t="str">
            <v>Ítem:</v>
          </cell>
          <cell r="E932">
            <v>5.4</v>
          </cell>
          <cell r="F932" t="str">
            <v>Pulido de Travertino</v>
          </cell>
          <cell r="G932" t="e">
            <v>#NAME?</v>
          </cell>
          <cell r="H932" t="e">
            <v>#NAME?</v>
          </cell>
          <cell r="I932">
            <v>0</v>
          </cell>
        </row>
        <row r="933">
          <cell r="C933">
            <v>0</v>
          </cell>
          <cell r="D933" t="str">
            <v>Unida:</v>
          </cell>
          <cell r="E933" t="str">
            <v>m²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</row>
        <row r="934">
          <cell r="C934">
            <v>0</v>
          </cell>
          <cell r="D934" t="str">
            <v>DENOMINACION</v>
          </cell>
          <cell r="E934" t="str">
            <v>UNIDAD</v>
          </cell>
          <cell r="F934" t="str">
            <v>COSTO UNITARIO</v>
          </cell>
          <cell r="G934" t="str">
            <v>RENDIMIENTO POR UNIDAD</v>
          </cell>
          <cell r="H934" t="str">
            <v>COSTO PARCIAL</v>
          </cell>
          <cell r="I934">
            <v>0</v>
          </cell>
        </row>
        <row r="935">
          <cell r="C935">
            <v>0</v>
          </cell>
          <cell r="D935" t="str">
            <v>A- MATERIALES: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</row>
        <row r="936">
          <cell r="C936">
            <v>0</v>
          </cell>
          <cell r="D936" t="str">
            <v xml:space="preserve">Accesorios </v>
          </cell>
          <cell r="E936" t="str">
            <v>gl</v>
          </cell>
          <cell r="F936">
            <v>25</v>
          </cell>
          <cell r="G936">
            <v>1</v>
          </cell>
          <cell r="H936">
            <v>25</v>
          </cell>
          <cell r="I936">
            <v>0</v>
          </cell>
        </row>
        <row r="937">
          <cell r="C937">
            <v>0</v>
          </cell>
          <cell r="D937">
            <v>0</v>
          </cell>
          <cell r="E937" t="str">
            <v>-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</row>
        <row r="938">
          <cell r="C938">
            <v>0</v>
          </cell>
          <cell r="D938">
            <v>0</v>
          </cell>
          <cell r="E938" t="str">
            <v>-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</row>
        <row r="939">
          <cell r="C939">
            <v>0</v>
          </cell>
          <cell r="D939">
            <v>0</v>
          </cell>
          <cell r="E939" t="str">
            <v>-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</row>
        <row r="940">
          <cell r="C940">
            <v>0</v>
          </cell>
          <cell r="D940">
            <v>0</v>
          </cell>
          <cell r="E940" t="str">
            <v>-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</row>
        <row r="941">
          <cell r="C941">
            <v>0</v>
          </cell>
          <cell r="D941">
            <v>0</v>
          </cell>
          <cell r="E941" t="str">
            <v>-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</row>
        <row r="942">
          <cell r="C942">
            <v>0</v>
          </cell>
          <cell r="D942">
            <v>0</v>
          </cell>
          <cell r="E942" t="str">
            <v>-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</row>
        <row r="943">
          <cell r="C943">
            <v>0</v>
          </cell>
          <cell r="D943">
            <v>0</v>
          </cell>
          <cell r="E943" t="str">
            <v>-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</row>
        <row r="944">
          <cell r="C944">
            <v>0</v>
          </cell>
          <cell r="D944">
            <v>0</v>
          </cell>
          <cell r="E944" t="str">
            <v>-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</row>
        <row r="945">
          <cell r="C945">
            <v>0</v>
          </cell>
          <cell r="D945">
            <v>0</v>
          </cell>
          <cell r="E945" t="str">
            <v>-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</row>
        <row r="946">
          <cell r="C946">
            <v>0</v>
          </cell>
          <cell r="D946">
            <v>0</v>
          </cell>
          <cell r="E946" t="str">
            <v>-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</row>
        <row r="947">
          <cell r="C947">
            <v>0</v>
          </cell>
          <cell r="D947">
            <v>0</v>
          </cell>
          <cell r="E947" t="str">
            <v>-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</row>
        <row r="948">
          <cell r="C948">
            <v>0</v>
          </cell>
          <cell r="D948">
            <v>0</v>
          </cell>
          <cell r="E948" t="str">
            <v>-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</row>
        <row r="949">
          <cell r="C949">
            <v>0</v>
          </cell>
          <cell r="D949">
            <v>0</v>
          </cell>
          <cell r="E949" t="str">
            <v>-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</row>
        <row r="950">
          <cell r="C950">
            <v>0</v>
          </cell>
          <cell r="D950">
            <v>0</v>
          </cell>
          <cell r="E950" t="str">
            <v>-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</row>
        <row r="951">
          <cell r="C951">
            <v>0</v>
          </cell>
          <cell r="D951">
            <v>0</v>
          </cell>
          <cell r="E951" t="str">
            <v>-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</row>
        <row r="952">
          <cell r="C952">
            <v>0</v>
          </cell>
          <cell r="D952">
            <v>0</v>
          </cell>
          <cell r="E952" t="str">
            <v>-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</row>
        <row r="953">
          <cell r="C953">
            <v>0</v>
          </cell>
          <cell r="D953">
            <v>0</v>
          </cell>
          <cell r="E953" t="str">
            <v>-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</row>
        <row r="954">
          <cell r="C954">
            <v>0</v>
          </cell>
          <cell r="D954">
            <v>0</v>
          </cell>
          <cell r="E954" t="str">
            <v>-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</row>
        <row r="955">
          <cell r="C955">
            <v>0</v>
          </cell>
          <cell r="D955">
            <v>0</v>
          </cell>
          <cell r="E955" t="str">
            <v>-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</row>
        <row r="956">
          <cell r="C956">
            <v>0</v>
          </cell>
          <cell r="D956" t="str">
            <v>SUB TOTAL MATERIALES</v>
          </cell>
          <cell r="E956">
            <v>0</v>
          </cell>
          <cell r="F956">
            <v>0</v>
          </cell>
          <cell r="G956">
            <v>0</v>
          </cell>
          <cell r="H956">
            <v>25</v>
          </cell>
          <cell r="I956">
            <v>0</v>
          </cell>
        </row>
        <row r="957">
          <cell r="C957">
            <v>0</v>
          </cell>
          <cell r="D957" t="str">
            <v>B- MANO DE OBRA: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</row>
        <row r="958">
          <cell r="C958">
            <v>0</v>
          </cell>
          <cell r="D958" t="str">
            <v>Oficial</v>
          </cell>
          <cell r="E958" t="str">
            <v>hs</v>
          </cell>
          <cell r="F958">
            <v>56.619016000000002</v>
          </cell>
          <cell r="G958">
            <v>3</v>
          </cell>
          <cell r="H958">
            <v>169.85704800000002</v>
          </cell>
          <cell r="I958">
            <v>0</v>
          </cell>
        </row>
        <row r="959">
          <cell r="C959">
            <v>0</v>
          </cell>
          <cell r="D959" t="str">
            <v>Ayudante</v>
          </cell>
          <cell r="E959" t="str">
            <v>hs</v>
          </cell>
          <cell r="F959">
            <v>48.396512000000008</v>
          </cell>
          <cell r="G959">
            <v>0.95343548725164307</v>
          </cell>
          <cell r="H959">
            <v>46.142952000000001</v>
          </cell>
          <cell r="I959">
            <v>0</v>
          </cell>
        </row>
        <row r="960">
          <cell r="C960">
            <v>0</v>
          </cell>
          <cell r="D960" t="str">
            <v>-</v>
          </cell>
          <cell r="E960" t="str">
            <v>-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</row>
        <row r="961">
          <cell r="C961">
            <v>0</v>
          </cell>
          <cell r="D961" t="str">
            <v>-</v>
          </cell>
          <cell r="E961" t="str">
            <v>-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</row>
        <row r="962">
          <cell r="C962">
            <v>0</v>
          </cell>
          <cell r="D962" t="str">
            <v>-</v>
          </cell>
          <cell r="E962" t="str">
            <v>-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</row>
        <row r="963">
          <cell r="C963">
            <v>0</v>
          </cell>
          <cell r="D963" t="str">
            <v>SUB TOTAL MANO DE OBRA</v>
          </cell>
          <cell r="E963">
            <v>0</v>
          </cell>
          <cell r="F963">
            <v>0</v>
          </cell>
          <cell r="G963">
            <v>0</v>
          </cell>
          <cell r="H963">
            <v>216.00000000000003</v>
          </cell>
          <cell r="I963">
            <v>0</v>
          </cell>
        </row>
        <row r="964">
          <cell r="C964">
            <v>0</v>
          </cell>
          <cell r="D964" t="str">
            <v>C- EQUIPOS: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</row>
        <row r="965">
          <cell r="C965">
            <v>0</v>
          </cell>
          <cell r="D965" t="str">
            <v>Herramientas de Mano</v>
          </cell>
          <cell r="E965" t="str">
            <v>gl</v>
          </cell>
          <cell r="F965">
            <v>7.23</v>
          </cell>
          <cell r="G965">
            <v>1</v>
          </cell>
          <cell r="H965">
            <v>7.23</v>
          </cell>
          <cell r="I965">
            <v>0</v>
          </cell>
        </row>
        <row r="966">
          <cell r="C966">
            <v>0</v>
          </cell>
          <cell r="D966" t="str">
            <v>Pulidora</v>
          </cell>
          <cell r="E966" t="str">
            <v>hs</v>
          </cell>
          <cell r="F966">
            <v>150</v>
          </cell>
          <cell r="G966">
            <v>0.05</v>
          </cell>
          <cell r="H966">
            <v>7.5</v>
          </cell>
          <cell r="I966">
            <v>0</v>
          </cell>
        </row>
        <row r="967">
          <cell r="C967">
            <v>0</v>
          </cell>
          <cell r="D967" t="str">
            <v>-</v>
          </cell>
          <cell r="E967" t="str">
            <v>-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</row>
        <row r="968">
          <cell r="C968">
            <v>0</v>
          </cell>
          <cell r="D968" t="str">
            <v>-</v>
          </cell>
          <cell r="E968" t="str">
            <v>-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</row>
        <row r="969">
          <cell r="C969">
            <v>0</v>
          </cell>
          <cell r="D969" t="str">
            <v>-</v>
          </cell>
          <cell r="E969" t="str">
            <v>-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</row>
        <row r="970">
          <cell r="C970">
            <v>0</v>
          </cell>
          <cell r="D970" t="str">
            <v>SUB TOTAL EQUIPOS</v>
          </cell>
          <cell r="E970">
            <v>0</v>
          </cell>
          <cell r="F970">
            <v>0</v>
          </cell>
          <cell r="G970">
            <v>0</v>
          </cell>
          <cell r="H970">
            <v>14.73</v>
          </cell>
          <cell r="I970">
            <v>0</v>
          </cell>
        </row>
        <row r="971"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</row>
        <row r="972">
          <cell r="B972">
            <v>18</v>
          </cell>
          <cell r="C972">
            <v>0</v>
          </cell>
          <cell r="D972" t="str">
            <v>COSTO-COSTO</v>
          </cell>
          <cell r="E972">
            <v>0</v>
          </cell>
          <cell r="F972">
            <v>0</v>
          </cell>
          <cell r="G972">
            <v>0</v>
          </cell>
          <cell r="H972">
            <v>255.73000000000002</v>
          </cell>
          <cell r="I972">
            <v>0</v>
          </cell>
        </row>
        <row r="973">
          <cell r="C973">
            <v>0</v>
          </cell>
          <cell r="D973" t="str">
            <v>GASTO FINANCIERO</v>
          </cell>
          <cell r="E973">
            <v>0</v>
          </cell>
          <cell r="F973">
            <v>0</v>
          </cell>
          <cell r="G973">
            <v>0.02</v>
          </cell>
          <cell r="H973">
            <v>5.1146000000000003</v>
          </cell>
          <cell r="I973">
            <v>0</v>
          </cell>
        </row>
        <row r="974">
          <cell r="C974">
            <v>0</v>
          </cell>
          <cell r="D974" t="str">
            <v>SUB TOTAL</v>
          </cell>
          <cell r="E974">
            <v>0</v>
          </cell>
          <cell r="F974">
            <v>0</v>
          </cell>
          <cell r="G974">
            <v>0</v>
          </cell>
          <cell r="H974">
            <v>260.84460000000001</v>
          </cell>
          <cell r="I974">
            <v>0</v>
          </cell>
        </row>
        <row r="975">
          <cell r="C975">
            <v>0</v>
          </cell>
          <cell r="D975" t="str">
            <v>GASTOS GENERALES</v>
          </cell>
          <cell r="E975">
            <v>0</v>
          </cell>
          <cell r="F975">
            <v>0</v>
          </cell>
          <cell r="G975">
            <v>0.35116211482007981</v>
          </cell>
          <cell r="H975">
            <v>91.598741375397793</v>
          </cell>
          <cell r="I975">
            <v>0</v>
          </cell>
        </row>
        <row r="976">
          <cell r="C976">
            <v>0</v>
          </cell>
          <cell r="D976" t="str">
            <v>BENEFICIO</v>
          </cell>
          <cell r="E976">
            <v>0</v>
          </cell>
          <cell r="F976">
            <v>0</v>
          </cell>
          <cell r="G976">
            <v>0.1</v>
          </cell>
          <cell r="H976">
            <v>26.084460000000004</v>
          </cell>
          <cell r="I976">
            <v>0</v>
          </cell>
        </row>
        <row r="977">
          <cell r="C977">
            <v>0</v>
          </cell>
          <cell r="D977" t="str">
            <v>COSTO TOTAL UNITARIO</v>
          </cell>
          <cell r="E977">
            <v>0</v>
          </cell>
          <cell r="F977">
            <v>0</v>
          </cell>
          <cell r="G977">
            <v>0</v>
          </cell>
          <cell r="H977">
            <v>378.52780137539781</v>
          </cell>
          <cell r="I977">
            <v>0</v>
          </cell>
        </row>
        <row r="978">
          <cell r="C978">
            <v>0</v>
          </cell>
          <cell r="D978" t="str">
            <v>IMPUETOS</v>
          </cell>
          <cell r="E978">
            <v>0</v>
          </cell>
          <cell r="F978" t="str">
            <v>IIBB</v>
          </cell>
          <cell r="G978">
            <v>2.4E-2</v>
          </cell>
          <cell r="H978">
            <v>9.0846672330095473</v>
          </cell>
          <cell r="I978">
            <v>0</v>
          </cell>
        </row>
        <row r="979">
          <cell r="C979">
            <v>0</v>
          </cell>
          <cell r="D979">
            <v>0</v>
          </cell>
          <cell r="E979">
            <v>0</v>
          </cell>
          <cell r="F979" t="str">
            <v>IVA</v>
          </cell>
          <cell r="G979">
            <v>0.21</v>
          </cell>
          <cell r="H979">
            <v>79.490838288833544</v>
          </cell>
          <cell r="I979">
            <v>0</v>
          </cell>
        </row>
        <row r="980"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</row>
        <row r="981">
          <cell r="C981">
            <v>0</v>
          </cell>
          <cell r="D981" t="str">
            <v>PRECIO TOTAL UNITARIO</v>
          </cell>
          <cell r="E981">
            <v>0</v>
          </cell>
          <cell r="F981">
            <v>0</v>
          </cell>
          <cell r="G981">
            <v>0</v>
          </cell>
          <cell r="H981">
            <v>467.10330689724094</v>
          </cell>
          <cell r="I981">
            <v>0</v>
          </cell>
        </row>
        <row r="982"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</row>
        <row r="983"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</row>
        <row r="984">
          <cell r="C984">
            <v>0</v>
          </cell>
          <cell r="D984" t="str">
            <v>Rubro:</v>
          </cell>
          <cell r="E984">
            <v>5</v>
          </cell>
          <cell r="F984" t="str">
            <v>Revestimiento Cerámico</v>
          </cell>
          <cell r="G984" t="e">
            <v>#NAME?</v>
          </cell>
          <cell r="H984" t="e">
            <v>#NAME?</v>
          </cell>
          <cell r="I984">
            <v>0</v>
          </cell>
        </row>
        <row r="985">
          <cell r="C985">
            <v>0</v>
          </cell>
          <cell r="D985" t="str">
            <v>Sub Rubro:</v>
          </cell>
          <cell r="E985">
            <v>5.5</v>
          </cell>
          <cell r="F985" t="str">
            <v>Reparación Parquet - Lustre</v>
          </cell>
          <cell r="G985" t="e">
            <v>#NAME?</v>
          </cell>
          <cell r="H985" t="e">
            <v>#NAME?</v>
          </cell>
          <cell r="I985">
            <v>0</v>
          </cell>
        </row>
        <row r="986">
          <cell r="C986">
            <v>0</v>
          </cell>
          <cell r="D986" t="str">
            <v>Ítem:</v>
          </cell>
          <cell r="E986">
            <v>5.5</v>
          </cell>
          <cell r="F986" t="str">
            <v>Reparación Parquet - Lustre</v>
          </cell>
          <cell r="G986" t="e">
            <v>#NAME?</v>
          </cell>
          <cell r="H986" t="e">
            <v>#NAME?</v>
          </cell>
          <cell r="I986">
            <v>0</v>
          </cell>
        </row>
        <row r="987">
          <cell r="C987">
            <v>0</v>
          </cell>
          <cell r="D987" t="str">
            <v>Unida:</v>
          </cell>
          <cell r="E987" t="str">
            <v>m²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</row>
        <row r="988">
          <cell r="C988">
            <v>0</v>
          </cell>
          <cell r="D988" t="str">
            <v>DENOMINACION</v>
          </cell>
          <cell r="E988" t="str">
            <v>UNIDAD</v>
          </cell>
          <cell r="F988" t="str">
            <v>COSTO UNITARIO</v>
          </cell>
          <cell r="G988" t="str">
            <v>RENDIMIENTO POR UNIDAD</v>
          </cell>
          <cell r="H988" t="str">
            <v>COSTO PARCIAL</v>
          </cell>
          <cell r="I988">
            <v>0</v>
          </cell>
        </row>
        <row r="989">
          <cell r="C989">
            <v>0</v>
          </cell>
          <cell r="D989" t="str">
            <v>A- MATERIALES: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</row>
        <row r="990">
          <cell r="C990">
            <v>0</v>
          </cell>
          <cell r="D990" t="str">
            <v>Plastificante</v>
          </cell>
          <cell r="E990" t="str">
            <v>lts</v>
          </cell>
          <cell r="F990">
            <v>58.677685950413228</v>
          </cell>
          <cell r="G990">
            <v>0.3</v>
          </cell>
          <cell r="H990">
            <v>17.603305785123968</v>
          </cell>
          <cell r="I990">
            <v>0</v>
          </cell>
        </row>
        <row r="991">
          <cell r="C991">
            <v>0</v>
          </cell>
          <cell r="D991" t="str">
            <v>Tiner</v>
          </cell>
          <cell r="E991" t="str">
            <v>lts</v>
          </cell>
          <cell r="F991">
            <v>28.264462809917358</v>
          </cell>
          <cell r="G991">
            <v>0.01</v>
          </cell>
          <cell r="H991">
            <v>0.28264462809917357</v>
          </cell>
          <cell r="I991">
            <v>0</v>
          </cell>
        </row>
        <row r="992">
          <cell r="C992">
            <v>0</v>
          </cell>
          <cell r="D992" t="str">
            <v xml:space="preserve">Accesorios </v>
          </cell>
          <cell r="E992" t="str">
            <v>gl</v>
          </cell>
          <cell r="F992">
            <v>5</v>
          </cell>
          <cell r="G992">
            <v>1</v>
          </cell>
          <cell r="H992">
            <v>5</v>
          </cell>
          <cell r="I992">
            <v>0</v>
          </cell>
        </row>
        <row r="993">
          <cell r="C993">
            <v>0</v>
          </cell>
          <cell r="D993">
            <v>0</v>
          </cell>
          <cell r="E993" t="str">
            <v>-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</row>
        <row r="994">
          <cell r="C994">
            <v>0</v>
          </cell>
          <cell r="D994">
            <v>0</v>
          </cell>
          <cell r="E994" t="str">
            <v>-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</row>
        <row r="995">
          <cell r="C995">
            <v>0</v>
          </cell>
          <cell r="D995">
            <v>0</v>
          </cell>
          <cell r="E995" t="str">
            <v>-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</row>
        <row r="996">
          <cell r="C996">
            <v>0</v>
          </cell>
          <cell r="D996">
            <v>0</v>
          </cell>
          <cell r="E996" t="str">
            <v>-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</row>
        <row r="997">
          <cell r="C997">
            <v>0</v>
          </cell>
          <cell r="D997">
            <v>0</v>
          </cell>
          <cell r="E997" t="str">
            <v>-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</row>
        <row r="998">
          <cell r="C998">
            <v>0</v>
          </cell>
          <cell r="D998">
            <v>0</v>
          </cell>
          <cell r="E998" t="str">
            <v>-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</row>
        <row r="999">
          <cell r="C999">
            <v>0</v>
          </cell>
          <cell r="D999">
            <v>0</v>
          </cell>
          <cell r="E999" t="str">
            <v>-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</row>
        <row r="1000">
          <cell r="C1000">
            <v>0</v>
          </cell>
          <cell r="D1000">
            <v>0</v>
          </cell>
          <cell r="E1000" t="str">
            <v>-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</row>
        <row r="1001">
          <cell r="C1001">
            <v>0</v>
          </cell>
          <cell r="D1001">
            <v>0</v>
          </cell>
          <cell r="E1001" t="str">
            <v>-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</row>
        <row r="1002">
          <cell r="C1002">
            <v>0</v>
          </cell>
          <cell r="D1002">
            <v>0</v>
          </cell>
          <cell r="E1002" t="str">
            <v>-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</row>
        <row r="1003">
          <cell r="C1003">
            <v>0</v>
          </cell>
          <cell r="D1003">
            <v>0</v>
          </cell>
          <cell r="E1003" t="str">
            <v>-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</row>
        <row r="1004">
          <cell r="C1004">
            <v>0</v>
          </cell>
          <cell r="D1004">
            <v>0</v>
          </cell>
          <cell r="E1004" t="str">
            <v>-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</row>
        <row r="1005">
          <cell r="C1005">
            <v>0</v>
          </cell>
          <cell r="D1005">
            <v>0</v>
          </cell>
          <cell r="E1005" t="str">
            <v>-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</row>
        <row r="1006">
          <cell r="C1006">
            <v>0</v>
          </cell>
          <cell r="D1006">
            <v>0</v>
          </cell>
          <cell r="E1006" t="str">
            <v>-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</row>
        <row r="1007">
          <cell r="C1007">
            <v>0</v>
          </cell>
          <cell r="D1007">
            <v>0</v>
          </cell>
          <cell r="E1007" t="str">
            <v>-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</row>
        <row r="1008">
          <cell r="C1008">
            <v>0</v>
          </cell>
          <cell r="D1008">
            <v>0</v>
          </cell>
          <cell r="E1008" t="str">
            <v>-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</row>
        <row r="1009">
          <cell r="C1009">
            <v>0</v>
          </cell>
          <cell r="D1009">
            <v>0</v>
          </cell>
          <cell r="E1009" t="str">
            <v>-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</row>
        <row r="1010">
          <cell r="C1010">
            <v>0</v>
          </cell>
          <cell r="D1010" t="str">
            <v>SUB TOTAL MATERIALES</v>
          </cell>
          <cell r="E1010">
            <v>0</v>
          </cell>
          <cell r="F1010">
            <v>0</v>
          </cell>
          <cell r="G1010">
            <v>0</v>
          </cell>
          <cell r="H1010">
            <v>22.885950413223142</v>
          </cell>
          <cell r="I1010">
            <v>0</v>
          </cell>
        </row>
        <row r="1011">
          <cell r="C1011">
            <v>0</v>
          </cell>
          <cell r="D1011" t="str">
            <v>B- MANO DE OBRA: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</row>
        <row r="1012">
          <cell r="C1012">
            <v>0</v>
          </cell>
          <cell r="D1012" t="str">
            <v>Oficial</v>
          </cell>
          <cell r="E1012" t="str">
            <v>hs</v>
          </cell>
          <cell r="F1012">
            <v>56.619016000000002</v>
          </cell>
          <cell r="G1012">
            <v>3</v>
          </cell>
          <cell r="H1012">
            <v>169.85704800000002</v>
          </cell>
          <cell r="I1012">
            <v>0</v>
          </cell>
        </row>
        <row r="1013">
          <cell r="C1013">
            <v>0</v>
          </cell>
          <cell r="D1013" t="str">
            <v>Ayudante</v>
          </cell>
          <cell r="E1013" t="str">
            <v>hs</v>
          </cell>
          <cell r="F1013">
            <v>48.396512000000008</v>
          </cell>
          <cell r="G1013">
            <v>0.76747167233870051</v>
          </cell>
          <cell r="H1013">
            <v>37.142951999999994</v>
          </cell>
          <cell r="I1013">
            <v>0</v>
          </cell>
        </row>
        <row r="1014">
          <cell r="C1014">
            <v>0</v>
          </cell>
          <cell r="D1014" t="str">
            <v>-</v>
          </cell>
          <cell r="E1014" t="str">
            <v>-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</row>
        <row r="1015">
          <cell r="C1015">
            <v>0</v>
          </cell>
          <cell r="D1015" t="str">
            <v>-</v>
          </cell>
          <cell r="E1015" t="str">
            <v>-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</row>
        <row r="1016">
          <cell r="C1016">
            <v>0</v>
          </cell>
          <cell r="D1016" t="str">
            <v>-</v>
          </cell>
          <cell r="E1016" t="str">
            <v>-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</row>
        <row r="1017">
          <cell r="C1017">
            <v>0</v>
          </cell>
          <cell r="D1017" t="str">
            <v>SUB TOTAL MANO DE OBRA</v>
          </cell>
          <cell r="E1017">
            <v>0</v>
          </cell>
          <cell r="F1017">
            <v>0</v>
          </cell>
          <cell r="G1017">
            <v>0</v>
          </cell>
          <cell r="H1017">
            <v>207</v>
          </cell>
          <cell r="I1017">
            <v>0</v>
          </cell>
        </row>
        <row r="1018">
          <cell r="C1018">
            <v>0</v>
          </cell>
          <cell r="D1018" t="str">
            <v>C- EQUIPOS: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</row>
        <row r="1019">
          <cell r="C1019">
            <v>0</v>
          </cell>
          <cell r="D1019" t="str">
            <v>Herramientas de Mano</v>
          </cell>
          <cell r="E1019" t="str">
            <v>gl</v>
          </cell>
          <cell r="F1019">
            <v>6.8965785123966947</v>
          </cell>
          <cell r="G1019">
            <v>1</v>
          </cell>
          <cell r="H1019">
            <v>6.8965785123966947</v>
          </cell>
          <cell r="I1019">
            <v>0</v>
          </cell>
        </row>
        <row r="1020">
          <cell r="C1020">
            <v>0</v>
          </cell>
          <cell r="D1020" t="str">
            <v>Pulidora</v>
          </cell>
          <cell r="E1020" t="str">
            <v>hs</v>
          </cell>
          <cell r="F1020">
            <v>150</v>
          </cell>
          <cell r="G1020">
            <v>0.05</v>
          </cell>
          <cell r="H1020">
            <v>7.5</v>
          </cell>
          <cell r="I1020">
            <v>0</v>
          </cell>
        </row>
        <row r="1021">
          <cell r="C1021">
            <v>0</v>
          </cell>
          <cell r="D1021" t="str">
            <v>-</v>
          </cell>
          <cell r="E1021" t="str">
            <v>-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</row>
        <row r="1022">
          <cell r="C1022">
            <v>0</v>
          </cell>
          <cell r="D1022" t="str">
            <v>-</v>
          </cell>
          <cell r="E1022" t="str">
            <v>-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</row>
        <row r="1023">
          <cell r="C1023">
            <v>0</v>
          </cell>
          <cell r="D1023" t="str">
            <v>-</v>
          </cell>
          <cell r="E1023" t="str">
            <v>-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</row>
        <row r="1024">
          <cell r="C1024">
            <v>0</v>
          </cell>
          <cell r="D1024" t="str">
            <v>SUB TOTAL EQUIPOS</v>
          </cell>
          <cell r="E1024">
            <v>0</v>
          </cell>
          <cell r="F1024">
            <v>0</v>
          </cell>
          <cell r="G1024">
            <v>0</v>
          </cell>
          <cell r="H1024">
            <v>14.396578512396694</v>
          </cell>
          <cell r="I1024">
            <v>0</v>
          </cell>
        </row>
        <row r="1025"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</row>
        <row r="1026">
          <cell r="B1026">
            <v>19</v>
          </cell>
          <cell r="C1026">
            <v>0</v>
          </cell>
          <cell r="D1026" t="str">
            <v>COSTO-COSTO</v>
          </cell>
          <cell r="E1026">
            <v>0</v>
          </cell>
          <cell r="F1026">
            <v>0</v>
          </cell>
          <cell r="G1026">
            <v>0</v>
          </cell>
          <cell r="H1026">
            <v>244.28252892561983</v>
          </cell>
          <cell r="I1026">
            <v>0</v>
          </cell>
        </row>
        <row r="1027">
          <cell r="C1027">
            <v>0</v>
          </cell>
          <cell r="D1027" t="str">
            <v>GASTO FINANCIERO</v>
          </cell>
          <cell r="E1027">
            <v>0</v>
          </cell>
          <cell r="F1027">
            <v>0</v>
          </cell>
          <cell r="G1027">
            <v>0.02</v>
          </cell>
          <cell r="H1027">
            <v>4.8856505785123963</v>
          </cell>
          <cell r="I1027">
            <v>0</v>
          </cell>
        </row>
        <row r="1028">
          <cell r="C1028">
            <v>0</v>
          </cell>
          <cell r="D1028" t="str">
            <v>SUB TOTAL</v>
          </cell>
          <cell r="E1028">
            <v>0</v>
          </cell>
          <cell r="F1028">
            <v>0</v>
          </cell>
          <cell r="G1028">
            <v>0</v>
          </cell>
          <cell r="H1028">
            <v>249.16817950413221</v>
          </cell>
          <cell r="I1028">
            <v>0</v>
          </cell>
        </row>
        <row r="1029">
          <cell r="C1029">
            <v>0</v>
          </cell>
          <cell r="D1029" t="str">
            <v>GASTOS GENERALES</v>
          </cell>
          <cell r="E1029">
            <v>0</v>
          </cell>
          <cell r="F1029">
            <v>0</v>
          </cell>
          <cell r="G1029">
            <v>0.35116211482007981</v>
          </cell>
          <cell r="H1029">
            <v>87.498424860540325</v>
          </cell>
          <cell r="I1029">
            <v>0</v>
          </cell>
        </row>
        <row r="1030">
          <cell r="C1030">
            <v>0</v>
          </cell>
          <cell r="D1030" t="str">
            <v>BENEFICIO</v>
          </cell>
          <cell r="E1030">
            <v>0</v>
          </cell>
          <cell r="F1030">
            <v>0</v>
          </cell>
          <cell r="G1030">
            <v>0.1</v>
          </cell>
          <cell r="H1030">
            <v>24.916817950413222</v>
          </cell>
          <cell r="I1030">
            <v>0</v>
          </cell>
        </row>
        <row r="1031">
          <cell r="C1031">
            <v>0</v>
          </cell>
          <cell r="D1031" t="str">
            <v>COSTO TOTAL UNITARIO</v>
          </cell>
          <cell r="E1031">
            <v>0</v>
          </cell>
          <cell r="F1031">
            <v>0</v>
          </cell>
          <cell r="G1031">
            <v>0</v>
          </cell>
          <cell r="H1031">
            <v>361.58342231508578</v>
          </cell>
          <cell r="I1031">
            <v>0</v>
          </cell>
        </row>
        <row r="1032">
          <cell r="C1032">
            <v>0</v>
          </cell>
          <cell r="D1032" t="str">
            <v>IMPUETOS</v>
          </cell>
          <cell r="E1032">
            <v>0</v>
          </cell>
          <cell r="F1032" t="str">
            <v>IIBB</v>
          </cell>
          <cell r="G1032">
            <v>2.4E-2</v>
          </cell>
          <cell r="H1032">
            <v>8.6780021355620587</v>
          </cell>
          <cell r="I1032">
            <v>0</v>
          </cell>
        </row>
        <row r="1033">
          <cell r="C1033">
            <v>0</v>
          </cell>
          <cell r="D1033">
            <v>0</v>
          </cell>
          <cell r="E1033">
            <v>0</v>
          </cell>
          <cell r="F1033" t="str">
            <v>IVA</v>
          </cell>
          <cell r="G1033">
            <v>0.21</v>
          </cell>
          <cell r="H1033">
            <v>75.932518686168009</v>
          </cell>
          <cell r="I1033">
            <v>0</v>
          </cell>
        </row>
        <row r="1034"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</row>
        <row r="1035">
          <cell r="C1035">
            <v>0</v>
          </cell>
          <cell r="D1035" t="str">
            <v>PRECIO TOTAL UNITARIO</v>
          </cell>
          <cell r="E1035">
            <v>0</v>
          </cell>
          <cell r="F1035">
            <v>0</v>
          </cell>
          <cell r="G1035">
            <v>0</v>
          </cell>
          <cell r="H1035">
            <v>446.19394313681585</v>
          </cell>
          <cell r="I1035">
            <v>0</v>
          </cell>
        </row>
        <row r="1036"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</row>
        <row r="1037"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</row>
        <row r="1038">
          <cell r="C1038">
            <v>0</v>
          </cell>
          <cell r="D1038" t="str">
            <v>Rubro:</v>
          </cell>
          <cell r="E1038">
            <v>6</v>
          </cell>
          <cell r="F1038" t="str">
            <v>Tabiques</v>
          </cell>
          <cell r="G1038" t="e">
            <v>#NAME?</v>
          </cell>
          <cell r="H1038" t="e">
            <v>#NAME?</v>
          </cell>
          <cell r="I1038">
            <v>0</v>
          </cell>
        </row>
        <row r="1039">
          <cell r="C1039">
            <v>0</v>
          </cell>
          <cell r="D1039" t="str">
            <v>Sub Rubro:</v>
          </cell>
          <cell r="E1039">
            <v>6.1</v>
          </cell>
          <cell r="F1039" t="str">
            <v>De placa de roca de yeso Simple</v>
          </cell>
          <cell r="G1039" t="e">
            <v>#NAME?</v>
          </cell>
          <cell r="H1039" t="e">
            <v>#NAME?</v>
          </cell>
          <cell r="I1039">
            <v>0</v>
          </cell>
        </row>
        <row r="1040">
          <cell r="C1040">
            <v>0</v>
          </cell>
          <cell r="D1040" t="str">
            <v>Ítem:</v>
          </cell>
          <cell r="E1040">
            <v>6.1</v>
          </cell>
          <cell r="F1040" t="str">
            <v>De placa de roca de yeso Simple</v>
          </cell>
          <cell r="G1040" t="e">
            <v>#NAME?</v>
          </cell>
          <cell r="H1040" t="e">
            <v>#NAME?</v>
          </cell>
          <cell r="I1040">
            <v>0</v>
          </cell>
        </row>
        <row r="1041">
          <cell r="C1041">
            <v>0</v>
          </cell>
          <cell r="D1041" t="str">
            <v>Unida:</v>
          </cell>
          <cell r="E1041" t="str">
            <v>m²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</row>
        <row r="1042">
          <cell r="C1042">
            <v>0</v>
          </cell>
          <cell r="D1042" t="str">
            <v>DENOMINACION</v>
          </cell>
          <cell r="E1042" t="str">
            <v>UNIDAD</v>
          </cell>
          <cell r="F1042" t="str">
            <v>COSTO UNITARIO</v>
          </cell>
          <cell r="G1042" t="str">
            <v>RENDIMIENTO POR UNIDAD</v>
          </cell>
          <cell r="H1042" t="str">
            <v>COSTO PARCIAL</v>
          </cell>
          <cell r="I1042">
            <v>0</v>
          </cell>
        </row>
        <row r="1043">
          <cell r="C1043">
            <v>0</v>
          </cell>
          <cell r="D1043" t="str">
            <v>A- MATERIALES: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</row>
        <row r="1044">
          <cell r="C1044">
            <v>0</v>
          </cell>
          <cell r="D1044" t="str">
            <v>Placa 12,5 mm</v>
          </cell>
          <cell r="E1044" t="str">
            <v>m²</v>
          </cell>
          <cell r="F1044">
            <v>35.51136363636364</v>
          </cell>
          <cell r="G1044">
            <v>2.1</v>
          </cell>
          <cell r="H1044">
            <v>74.573863636363654</v>
          </cell>
          <cell r="I1044">
            <v>0</v>
          </cell>
        </row>
        <row r="1045">
          <cell r="C1045">
            <v>0</v>
          </cell>
          <cell r="D1045" t="str">
            <v>Montante de 70 mm</v>
          </cell>
          <cell r="E1045" t="str">
            <v>ml</v>
          </cell>
          <cell r="F1045">
            <v>18.690400508582329</v>
          </cell>
          <cell r="G1045">
            <v>2.5</v>
          </cell>
          <cell r="H1045">
            <v>46.726001271455821</v>
          </cell>
          <cell r="I1045">
            <v>0</v>
          </cell>
        </row>
        <row r="1046">
          <cell r="C1046">
            <v>0</v>
          </cell>
          <cell r="D1046" t="str">
            <v>Fijación Completa 8 mm</v>
          </cell>
          <cell r="E1046" t="str">
            <v>un</v>
          </cell>
          <cell r="F1046">
            <v>0.80578512396694213</v>
          </cell>
          <cell r="G1046">
            <v>3.5</v>
          </cell>
          <cell r="H1046">
            <v>2.8202479338842976</v>
          </cell>
          <cell r="I1046">
            <v>0</v>
          </cell>
        </row>
        <row r="1047">
          <cell r="C1047">
            <v>0</v>
          </cell>
          <cell r="D1047" t="str">
            <v>Solera de 70 mm</v>
          </cell>
          <cell r="E1047" t="str">
            <v>ml</v>
          </cell>
          <cell r="F1047">
            <v>16.773680864589956</v>
          </cell>
          <cell r="G1047">
            <v>1</v>
          </cell>
          <cell r="H1047">
            <v>16.773680864589956</v>
          </cell>
          <cell r="I1047">
            <v>0</v>
          </cell>
        </row>
        <row r="1048">
          <cell r="C1048">
            <v>0</v>
          </cell>
          <cell r="D1048" t="str">
            <v>T1 PM</v>
          </cell>
          <cell r="E1048" t="str">
            <v>un</v>
          </cell>
          <cell r="F1048">
            <v>0.27272727272727271</v>
          </cell>
          <cell r="G1048">
            <v>8</v>
          </cell>
          <cell r="H1048">
            <v>2.1818181818181817</v>
          </cell>
          <cell r="I1048">
            <v>0</v>
          </cell>
        </row>
        <row r="1049">
          <cell r="C1049">
            <v>0</v>
          </cell>
          <cell r="D1049" t="str">
            <v>T2 PA</v>
          </cell>
          <cell r="E1049" t="str">
            <v>un</v>
          </cell>
          <cell r="F1049">
            <v>0.24793388429752067</v>
          </cell>
          <cell r="G1049">
            <v>26</v>
          </cell>
          <cell r="H1049">
            <v>6.446280991735537</v>
          </cell>
          <cell r="I1049">
            <v>0</v>
          </cell>
        </row>
        <row r="1050">
          <cell r="C1050">
            <v>0</v>
          </cell>
          <cell r="D1050" t="str">
            <v>Masilla</v>
          </cell>
          <cell r="E1050" t="str">
            <v>kg</v>
          </cell>
          <cell r="F1050">
            <v>3.78</v>
          </cell>
          <cell r="G1050">
            <v>1.8</v>
          </cell>
          <cell r="H1050">
            <v>6.8039999999999994</v>
          </cell>
          <cell r="I1050">
            <v>0</v>
          </cell>
        </row>
        <row r="1051">
          <cell r="C1051">
            <v>0</v>
          </cell>
          <cell r="D1051" t="str">
            <v>Cinta</v>
          </cell>
          <cell r="E1051" t="str">
            <v>ml</v>
          </cell>
          <cell r="F1051">
            <v>0.23</v>
          </cell>
          <cell r="G1051">
            <v>3.3</v>
          </cell>
          <cell r="H1051">
            <v>0.75900000000000001</v>
          </cell>
          <cell r="I1051">
            <v>0</v>
          </cell>
        </row>
        <row r="1052">
          <cell r="C1052">
            <v>0</v>
          </cell>
          <cell r="D1052">
            <v>0</v>
          </cell>
          <cell r="E1052" t="str">
            <v>-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</row>
        <row r="1053">
          <cell r="C1053">
            <v>0</v>
          </cell>
          <cell r="D1053">
            <v>0</v>
          </cell>
          <cell r="E1053" t="str">
            <v>-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</row>
        <row r="1054">
          <cell r="C1054">
            <v>0</v>
          </cell>
          <cell r="D1054">
            <v>0</v>
          </cell>
          <cell r="E1054" t="str">
            <v>-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</row>
        <row r="1055">
          <cell r="C1055">
            <v>0</v>
          </cell>
          <cell r="D1055">
            <v>0</v>
          </cell>
          <cell r="E1055" t="str">
            <v>-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</row>
        <row r="1056">
          <cell r="C1056">
            <v>0</v>
          </cell>
          <cell r="D1056">
            <v>0</v>
          </cell>
          <cell r="E1056" t="str">
            <v>-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</row>
        <row r="1057">
          <cell r="C1057">
            <v>0</v>
          </cell>
          <cell r="D1057">
            <v>0</v>
          </cell>
          <cell r="E1057" t="str">
            <v>-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</row>
        <row r="1058">
          <cell r="C1058">
            <v>0</v>
          </cell>
          <cell r="D1058">
            <v>0</v>
          </cell>
          <cell r="E1058" t="str">
            <v>-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</row>
        <row r="1059">
          <cell r="C1059">
            <v>0</v>
          </cell>
          <cell r="D1059">
            <v>0</v>
          </cell>
          <cell r="E1059" t="str">
            <v>-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</row>
        <row r="1060">
          <cell r="C1060">
            <v>0</v>
          </cell>
          <cell r="D1060">
            <v>0</v>
          </cell>
          <cell r="E1060" t="str">
            <v>-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</row>
        <row r="1061">
          <cell r="C1061">
            <v>0</v>
          </cell>
          <cell r="D1061">
            <v>0</v>
          </cell>
          <cell r="E1061" t="str">
            <v>-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</row>
        <row r="1062">
          <cell r="C1062">
            <v>0</v>
          </cell>
          <cell r="D1062">
            <v>0</v>
          </cell>
          <cell r="E1062" t="str">
            <v>-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</row>
        <row r="1063">
          <cell r="C1063">
            <v>0</v>
          </cell>
          <cell r="D1063">
            <v>0</v>
          </cell>
          <cell r="E1063" t="str">
            <v>-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</row>
        <row r="1064">
          <cell r="C1064">
            <v>0</v>
          </cell>
          <cell r="D1064" t="str">
            <v>SUB TOTAL MATERIALES</v>
          </cell>
          <cell r="E1064">
            <v>0</v>
          </cell>
          <cell r="F1064">
            <v>0</v>
          </cell>
          <cell r="G1064">
            <v>0</v>
          </cell>
          <cell r="H1064">
            <v>157.08489287984744</v>
          </cell>
          <cell r="I1064">
            <v>0</v>
          </cell>
        </row>
        <row r="1065">
          <cell r="C1065">
            <v>0</v>
          </cell>
          <cell r="D1065" t="str">
            <v>B- MANO DE OBRA: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</row>
        <row r="1066">
          <cell r="C1066">
            <v>0</v>
          </cell>
          <cell r="D1066" t="str">
            <v>Oficial</v>
          </cell>
          <cell r="E1066" t="str">
            <v>hs</v>
          </cell>
          <cell r="F1066">
            <v>56.619016000000002</v>
          </cell>
          <cell r="G1066">
            <v>2</v>
          </cell>
          <cell r="H1066">
            <v>113.238032</v>
          </cell>
          <cell r="I1066">
            <v>0</v>
          </cell>
        </row>
        <row r="1067">
          <cell r="C1067">
            <v>0</v>
          </cell>
          <cell r="D1067" t="str">
            <v>Ayudante</v>
          </cell>
          <cell r="E1067" t="str">
            <v>hs</v>
          </cell>
          <cell r="F1067">
            <v>48.396512000000008</v>
          </cell>
          <cell r="G1067">
            <v>1.0075512879936461</v>
          </cell>
          <cell r="H1067">
            <v>48.76196799999996</v>
          </cell>
          <cell r="I1067">
            <v>0</v>
          </cell>
        </row>
        <row r="1068">
          <cell r="C1068">
            <v>0</v>
          </cell>
          <cell r="D1068" t="str">
            <v>-</v>
          </cell>
          <cell r="E1068" t="str">
            <v>-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</row>
        <row r="1069">
          <cell r="C1069">
            <v>0</v>
          </cell>
          <cell r="D1069" t="str">
            <v>-</v>
          </cell>
          <cell r="E1069" t="str">
            <v>-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</row>
        <row r="1070">
          <cell r="C1070">
            <v>0</v>
          </cell>
          <cell r="D1070" t="str">
            <v>-</v>
          </cell>
          <cell r="E1070" t="str">
            <v>-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</row>
        <row r="1071">
          <cell r="C1071">
            <v>0</v>
          </cell>
          <cell r="D1071" t="str">
            <v>SUB TOTAL MANO DE OBRA</v>
          </cell>
          <cell r="E1071">
            <v>0</v>
          </cell>
          <cell r="F1071">
            <v>0</v>
          </cell>
          <cell r="G1071">
            <v>0</v>
          </cell>
          <cell r="H1071">
            <v>161.99999999999997</v>
          </cell>
          <cell r="I1071">
            <v>0</v>
          </cell>
        </row>
        <row r="1072">
          <cell r="C1072">
            <v>0</v>
          </cell>
          <cell r="D1072" t="str">
            <v>C- EQUIPOS: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</row>
        <row r="1073">
          <cell r="C1073">
            <v>0</v>
          </cell>
          <cell r="D1073" t="str">
            <v>Herramientas de Mano</v>
          </cell>
          <cell r="E1073" t="str">
            <v>gl</v>
          </cell>
          <cell r="F1073">
            <v>9.5725467863954226</v>
          </cell>
          <cell r="G1073">
            <v>1</v>
          </cell>
          <cell r="H1073">
            <v>9.5725467863954226</v>
          </cell>
          <cell r="I1073">
            <v>0</v>
          </cell>
        </row>
        <row r="1074">
          <cell r="C1074">
            <v>0</v>
          </cell>
          <cell r="D1074" t="str">
            <v>-</v>
          </cell>
          <cell r="E1074" t="str">
            <v>-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</row>
        <row r="1075">
          <cell r="C1075">
            <v>0</v>
          </cell>
          <cell r="D1075" t="str">
            <v>-</v>
          </cell>
          <cell r="E1075" t="str">
            <v>-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</row>
        <row r="1076">
          <cell r="C1076">
            <v>0</v>
          </cell>
          <cell r="D1076" t="str">
            <v>-</v>
          </cell>
          <cell r="E1076" t="str">
            <v>-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</row>
        <row r="1077">
          <cell r="C1077">
            <v>0</v>
          </cell>
          <cell r="D1077" t="str">
            <v>-</v>
          </cell>
          <cell r="E1077" t="str">
            <v>-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</row>
        <row r="1078">
          <cell r="C1078">
            <v>0</v>
          </cell>
          <cell r="D1078" t="str">
            <v>SUB TOTAL EQUIPOS</v>
          </cell>
          <cell r="E1078">
            <v>0</v>
          </cell>
          <cell r="F1078">
            <v>0</v>
          </cell>
          <cell r="G1078">
            <v>0</v>
          </cell>
          <cell r="H1078">
            <v>9.5725467863954226</v>
          </cell>
          <cell r="I1078">
            <v>0</v>
          </cell>
        </row>
        <row r="1079"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</row>
        <row r="1080">
          <cell r="B1080">
            <v>20</v>
          </cell>
          <cell r="C1080">
            <v>0</v>
          </cell>
          <cell r="D1080" t="str">
            <v>COSTO-COSTO</v>
          </cell>
          <cell r="E1080">
            <v>0</v>
          </cell>
          <cell r="F1080">
            <v>0</v>
          </cell>
          <cell r="G1080">
            <v>0</v>
          </cell>
          <cell r="H1080">
            <v>328.65743966624285</v>
          </cell>
          <cell r="I1080">
            <v>0</v>
          </cell>
        </row>
        <row r="1081">
          <cell r="C1081">
            <v>0</v>
          </cell>
          <cell r="D1081" t="str">
            <v>GASTO FINANCIERO</v>
          </cell>
          <cell r="E1081">
            <v>0</v>
          </cell>
          <cell r="F1081">
            <v>0</v>
          </cell>
          <cell r="G1081">
            <v>0.02</v>
          </cell>
          <cell r="H1081">
            <v>6.5731487933248571</v>
          </cell>
          <cell r="I1081">
            <v>0</v>
          </cell>
        </row>
        <row r="1082">
          <cell r="C1082">
            <v>0</v>
          </cell>
          <cell r="D1082" t="str">
            <v>SUB TOTAL</v>
          </cell>
          <cell r="E1082">
            <v>0</v>
          </cell>
          <cell r="F1082">
            <v>0</v>
          </cell>
          <cell r="G1082">
            <v>0</v>
          </cell>
          <cell r="H1082">
            <v>335.23058845956768</v>
          </cell>
          <cell r="I1082">
            <v>0</v>
          </cell>
        </row>
        <row r="1083">
          <cell r="C1083">
            <v>0</v>
          </cell>
          <cell r="D1083" t="str">
            <v>GASTOS GENERALES</v>
          </cell>
          <cell r="E1083">
            <v>0</v>
          </cell>
          <cell r="F1083">
            <v>0</v>
          </cell>
          <cell r="G1083">
            <v>0.35116211482007981</v>
          </cell>
          <cell r="H1083">
            <v>117.72028239584162</v>
          </cell>
          <cell r="I1083">
            <v>0</v>
          </cell>
        </row>
        <row r="1084">
          <cell r="C1084">
            <v>0</v>
          </cell>
          <cell r="D1084" t="str">
            <v>BENEFICIO</v>
          </cell>
          <cell r="E1084">
            <v>0</v>
          </cell>
          <cell r="F1084">
            <v>0</v>
          </cell>
          <cell r="G1084">
            <v>0.1</v>
          </cell>
          <cell r="H1084">
            <v>33.523058845956768</v>
          </cell>
          <cell r="I1084">
            <v>0</v>
          </cell>
        </row>
        <row r="1085">
          <cell r="C1085">
            <v>0</v>
          </cell>
          <cell r="D1085" t="str">
            <v>COSTO TOTAL UNITARIO</v>
          </cell>
          <cell r="E1085">
            <v>0</v>
          </cell>
          <cell r="F1085">
            <v>0</v>
          </cell>
          <cell r="G1085">
            <v>0</v>
          </cell>
          <cell r="H1085">
            <v>486.4739297013661</v>
          </cell>
          <cell r="I1085">
            <v>0</v>
          </cell>
        </row>
        <row r="1086">
          <cell r="C1086">
            <v>0</v>
          </cell>
          <cell r="D1086" t="str">
            <v>IMPUETOS</v>
          </cell>
          <cell r="E1086">
            <v>0</v>
          </cell>
          <cell r="F1086" t="str">
            <v>IIBB</v>
          </cell>
          <cell r="G1086">
            <v>2.4E-2</v>
          </cell>
          <cell r="H1086">
            <v>11.675374312832787</v>
          </cell>
          <cell r="I1086">
            <v>0</v>
          </cell>
        </row>
        <row r="1087">
          <cell r="C1087">
            <v>0</v>
          </cell>
          <cell r="D1087">
            <v>0</v>
          </cell>
          <cell r="E1087">
            <v>0</v>
          </cell>
          <cell r="F1087" t="str">
            <v>IVA</v>
          </cell>
          <cell r="G1087">
            <v>0.21</v>
          </cell>
          <cell r="H1087">
            <v>102.15952523728687</v>
          </cell>
          <cell r="I1087">
            <v>0</v>
          </cell>
        </row>
        <row r="1088"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</row>
        <row r="1089">
          <cell r="C1089">
            <v>0</v>
          </cell>
          <cell r="D1089" t="str">
            <v>PRECIO TOTAL UNITARIO</v>
          </cell>
          <cell r="E1089">
            <v>0</v>
          </cell>
          <cell r="F1089">
            <v>0</v>
          </cell>
          <cell r="G1089">
            <v>0</v>
          </cell>
          <cell r="H1089">
            <v>600.3088292514858</v>
          </cell>
          <cell r="I1089">
            <v>0</v>
          </cell>
        </row>
        <row r="1090"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</row>
        <row r="1091"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</row>
        <row r="1092">
          <cell r="C1092">
            <v>0</v>
          </cell>
          <cell r="D1092" t="str">
            <v>Rubro:</v>
          </cell>
          <cell r="E1092">
            <v>6</v>
          </cell>
          <cell r="F1092" t="str">
            <v>Tabiques</v>
          </cell>
          <cell r="G1092" t="e">
            <v>#NAME?</v>
          </cell>
          <cell r="H1092" t="e">
            <v>#NAME?</v>
          </cell>
          <cell r="I1092">
            <v>0</v>
          </cell>
        </row>
        <row r="1093">
          <cell r="C1093">
            <v>0</v>
          </cell>
          <cell r="D1093" t="str">
            <v>Sub Rubro:</v>
          </cell>
          <cell r="E1093">
            <v>6.2</v>
          </cell>
          <cell r="F1093" t="str">
            <v xml:space="preserve"> De Madera</v>
          </cell>
          <cell r="G1093" t="e">
            <v>#NAME?</v>
          </cell>
          <cell r="H1093" t="e">
            <v>#NAME?</v>
          </cell>
          <cell r="I1093">
            <v>0</v>
          </cell>
        </row>
        <row r="1094">
          <cell r="C1094">
            <v>0</v>
          </cell>
          <cell r="D1094" t="str">
            <v>Ítem:</v>
          </cell>
          <cell r="E1094">
            <v>6.2</v>
          </cell>
          <cell r="F1094" t="str">
            <v xml:space="preserve"> De Madera</v>
          </cell>
          <cell r="G1094" t="e">
            <v>#NAME?</v>
          </cell>
          <cell r="H1094" t="e">
            <v>#NAME?</v>
          </cell>
          <cell r="I1094">
            <v>0</v>
          </cell>
        </row>
        <row r="1095">
          <cell r="C1095">
            <v>0</v>
          </cell>
          <cell r="D1095" t="str">
            <v>Unida:</v>
          </cell>
          <cell r="E1095" t="str">
            <v>gl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</row>
        <row r="1096">
          <cell r="C1096">
            <v>0</v>
          </cell>
          <cell r="D1096" t="str">
            <v>DENOMINACION</v>
          </cell>
          <cell r="E1096" t="str">
            <v>UNIDAD</v>
          </cell>
          <cell r="F1096" t="str">
            <v>COSTO UNITARIO</v>
          </cell>
          <cell r="G1096" t="str">
            <v>RENDIMIENTO POR UNIDAD</v>
          </cell>
          <cell r="H1096" t="str">
            <v>COSTO PARCIAL</v>
          </cell>
          <cell r="I1096">
            <v>0</v>
          </cell>
        </row>
        <row r="1097">
          <cell r="C1097">
            <v>0</v>
          </cell>
          <cell r="D1097" t="str">
            <v>A- MATERIALES: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</row>
        <row r="1098">
          <cell r="C1098">
            <v>0</v>
          </cell>
          <cell r="D1098" t="str">
            <v>Tabique de Madera</v>
          </cell>
          <cell r="E1098" t="str">
            <v>un</v>
          </cell>
          <cell r="F1098">
            <v>6300</v>
          </cell>
          <cell r="G1098">
            <v>1</v>
          </cell>
          <cell r="H1098">
            <v>6300</v>
          </cell>
          <cell r="I1098">
            <v>0</v>
          </cell>
        </row>
        <row r="1099">
          <cell r="C1099">
            <v>0</v>
          </cell>
          <cell r="D1099" t="str">
            <v>Vidrio 3+3</v>
          </cell>
          <cell r="E1099" t="str">
            <v>m²</v>
          </cell>
          <cell r="F1099">
            <v>495.86776859504135</v>
          </cell>
          <cell r="G1099">
            <v>18</v>
          </cell>
          <cell r="H1099">
            <v>8925.6198347107438</v>
          </cell>
          <cell r="I1099">
            <v>0</v>
          </cell>
        </row>
        <row r="1100">
          <cell r="C1100">
            <v>0</v>
          </cell>
          <cell r="D1100">
            <v>0</v>
          </cell>
          <cell r="E1100" t="str">
            <v>-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</row>
        <row r="1101">
          <cell r="C1101">
            <v>0</v>
          </cell>
          <cell r="D1101">
            <v>0</v>
          </cell>
          <cell r="E1101" t="str">
            <v>-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</row>
        <row r="1102">
          <cell r="C1102">
            <v>0</v>
          </cell>
          <cell r="D1102">
            <v>0</v>
          </cell>
          <cell r="E1102" t="str">
            <v>-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</row>
        <row r="1103">
          <cell r="C1103">
            <v>0</v>
          </cell>
          <cell r="D1103">
            <v>0</v>
          </cell>
          <cell r="E1103" t="str">
            <v>-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</row>
        <row r="1104">
          <cell r="C1104">
            <v>0</v>
          </cell>
          <cell r="D1104">
            <v>0</v>
          </cell>
          <cell r="E1104" t="str">
            <v>-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</row>
        <row r="1105">
          <cell r="C1105">
            <v>0</v>
          </cell>
          <cell r="D1105">
            <v>0</v>
          </cell>
          <cell r="E1105" t="str">
            <v>-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</row>
        <row r="1106">
          <cell r="C1106">
            <v>0</v>
          </cell>
          <cell r="D1106">
            <v>0</v>
          </cell>
          <cell r="E1106" t="str">
            <v>-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</row>
        <row r="1107">
          <cell r="C1107">
            <v>0</v>
          </cell>
          <cell r="D1107">
            <v>0</v>
          </cell>
          <cell r="E1107" t="str">
            <v>-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</row>
        <row r="1108">
          <cell r="C1108">
            <v>0</v>
          </cell>
          <cell r="D1108">
            <v>0</v>
          </cell>
          <cell r="E1108" t="str">
            <v>-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</row>
        <row r="1109">
          <cell r="C1109">
            <v>0</v>
          </cell>
          <cell r="D1109">
            <v>0</v>
          </cell>
          <cell r="E1109" t="str">
            <v>-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</row>
        <row r="1110">
          <cell r="C1110">
            <v>0</v>
          </cell>
          <cell r="D1110">
            <v>0</v>
          </cell>
          <cell r="E1110" t="str">
            <v>-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</row>
        <row r="1111">
          <cell r="C1111">
            <v>0</v>
          </cell>
          <cell r="D1111">
            <v>0</v>
          </cell>
          <cell r="E1111" t="str">
            <v>-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</row>
        <row r="1112">
          <cell r="C1112">
            <v>0</v>
          </cell>
          <cell r="D1112">
            <v>0</v>
          </cell>
          <cell r="E1112" t="str">
            <v>-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</row>
        <row r="1113">
          <cell r="C1113">
            <v>0</v>
          </cell>
          <cell r="D1113">
            <v>0</v>
          </cell>
          <cell r="E1113" t="str">
            <v>-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</row>
        <row r="1114">
          <cell r="C1114">
            <v>0</v>
          </cell>
          <cell r="D1114">
            <v>0</v>
          </cell>
          <cell r="E1114" t="str">
            <v>-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</row>
        <row r="1115">
          <cell r="C1115">
            <v>0</v>
          </cell>
          <cell r="D1115">
            <v>0</v>
          </cell>
          <cell r="E1115" t="str">
            <v>-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</row>
        <row r="1116">
          <cell r="C1116">
            <v>0</v>
          </cell>
          <cell r="D1116">
            <v>0</v>
          </cell>
          <cell r="E1116" t="str">
            <v>-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</row>
        <row r="1117">
          <cell r="C1117">
            <v>0</v>
          </cell>
          <cell r="D1117">
            <v>0</v>
          </cell>
          <cell r="E1117" t="str">
            <v>-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</row>
        <row r="1118">
          <cell r="C1118">
            <v>0</v>
          </cell>
          <cell r="D1118" t="str">
            <v>SUB TOTAL MATERIALES</v>
          </cell>
          <cell r="E1118">
            <v>0</v>
          </cell>
          <cell r="F1118">
            <v>0</v>
          </cell>
          <cell r="G1118">
            <v>0</v>
          </cell>
          <cell r="H1118">
            <v>15225.619834710744</v>
          </cell>
          <cell r="I1118">
            <v>0</v>
          </cell>
        </row>
        <row r="1119">
          <cell r="C1119">
            <v>0</v>
          </cell>
          <cell r="D1119" t="str">
            <v>B- MANO DE OBRA: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</row>
        <row r="1120">
          <cell r="C1120">
            <v>0</v>
          </cell>
          <cell r="D1120" t="str">
            <v>Oficial</v>
          </cell>
          <cell r="E1120" t="str">
            <v>hs</v>
          </cell>
          <cell r="F1120">
            <v>56.619016000000002</v>
          </cell>
          <cell r="G1120">
            <v>10</v>
          </cell>
          <cell r="H1120">
            <v>566.19015999999999</v>
          </cell>
          <cell r="I1120">
            <v>0</v>
          </cell>
        </row>
        <row r="1121">
          <cell r="C1121">
            <v>0</v>
          </cell>
          <cell r="D1121" t="str">
            <v>Ayudante</v>
          </cell>
          <cell r="E1121" t="str">
            <v>hs</v>
          </cell>
          <cell r="F1121">
            <v>48.396512000000008</v>
          </cell>
          <cell r="G1121">
            <v>7</v>
          </cell>
          <cell r="H1121">
            <v>338.77558400000004</v>
          </cell>
          <cell r="I1121">
            <v>0</v>
          </cell>
        </row>
        <row r="1122">
          <cell r="C1122">
            <v>0</v>
          </cell>
          <cell r="D1122" t="str">
            <v>-</v>
          </cell>
          <cell r="E1122" t="str">
            <v>-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</row>
        <row r="1123">
          <cell r="C1123">
            <v>0</v>
          </cell>
          <cell r="D1123" t="str">
            <v>-</v>
          </cell>
          <cell r="E1123" t="str">
            <v>-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</row>
        <row r="1124">
          <cell r="C1124">
            <v>0</v>
          </cell>
          <cell r="D1124" t="str">
            <v>-</v>
          </cell>
          <cell r="E1124" t="str">
            <v>-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</row>
        <row r="1125">
          <cell r="C1125">
            <v>0</v>
          </cell>
          <cell r="D1125" t="str">
            <v>SUB TOTAL MANO DE OBRA</v>
          </cell>
          <cell r="E1125">
            <v>0</v>
          </cell>
          <cell r="F1125">
            <v>0</v>
          </cell>
          <cell r="G1125">
            <v>0</v>
          </cell>
          <cell r="H1125">
            <v>904.96574400000009</v>
          </cell>
          <cell r="I1125">
            <v>0</v>
          </cell>
        </row>
        <row r="1126">
          <cell r="C1126">
            <v>0</v>
          </cell>
          <cell r="D1126" t="str">
            <v>C- EQUIPOS: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</row>
        <row r="1127">
          <cell r="C1127">
            <v>0</v>
          </cell>
          <cell r="D1127" t="str">
            <v>-</v>
          </cell>
          <cell r="E1127" t="str">
            <v>-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</row>
        <row r="1128">
          <cell r="C1128">
            <v>0</v>
          </cell>
          <cell r="D1128" t="str">
            <v>-</v>
          </cell>
          <cell r="E1128" t="str">
            <v>-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</row>
        <row r="1129">
          <cell r="C1129">
            <v>0</v>
          </cell>
          <cell r="D1129" t="str">
            <v>-</v>
          </cell>
          <cell r="E1129" t="str">
            <v>-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</row>
        <row r="1130">
          <cell r="C1130">
            <v>0</v>
          </cell>
          <cell r="D1130" t="str">
            <v>-</v>
          </cell>
          <cell r="E1130" t="str">
            <v>-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</row>
        <row r="1131">
          <cell r="C1131">
            <v>0</v>
          </cell>
          <cell r="D1131" t="str">
            <v>-</v>
          </cell>
          <cell r="E1131" t="str">
            <v>-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</row>
        <row r="1132">
          <cell r="C1132">
            <v>0</v>
          </cell>
          <cell r="D1132" t="str">
            <v>SUB TOTAL EQUIPOS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</row>
        <row r="1133"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</row>
        <row r="1134">
          <cell r="B1134">
            <v>21</v>
          </cell>
          <cell r="C1134">
            <v>0</v>
          </cell>
          <cell r="D1134" t="str">
            <v>COSTO-COSTO</v>
          </cell>
          <cell r="E1134">
            <v>0</v>
          </cell>
          <cell r="F1134">
            <v>0</v>
          </cell>
          <cell r="G1134">
            <v>0</v>
          </cell>
          <cell r="H1134">
            <v>16130.585578710743</v>
          </cell>
          <cell r="I1134">
            <v>0</v>
          </cell>
        </row>
        <row r="1135">
          <cell r="C1135">
            <v>0</v>
          </cell>
          <cell r="D1135" t="str">
            <v>GASTO FINANCIERO</v>
          </cell>
          <cell r="E1135">
            <v>0</v>
          </cell>
          <cell r="F1135">
            <v>0</v>
          </cell>
          <cell r="G1135">
            <v>0.02</v>
          </cell>
          <cell r="H1135">
            <v>322.61171157421489</v>
          </cell>
          <cell r="I1135">
            <v>0</v>
          </cell>
        </row>
        <row r="1136">
          <cell r="C1136">
            <v>0</v>
          </cell>
          <cell r="D1136" t="str">
            <v>SUB TOTAL</v>
          </cell>
          <cell r="E1136">
            <v>0</v>
          </cell>
          <cell r="F1136">
            <v>0</v>
          </cell>
          <cell r="G1136">
            <v>0</v>
          </cell>
          <cell r="H1136">
            <v>16453.197290284959</v>
          </cell>
          <cell r="I1136">
            <v>0</v>
          </cell>
        </row>
        <row r="1137">
          <cell r="C1137">
            <v>0</v>
          </cell>
          <cell r="D1137" t="str">
            <v>GASTOS GENERALES</v>
          </cell>
          <cell r="E1137">
            <v>0</v>
          </cell>
          <cell r="F1137">
            <v>0</v>
          </cell>
          <cell r="G1137">
            <v>0.35116211482007981</v>
          </cell>
          <cell r="H1137">
            <v>5777.7395560084724</v>
          </cell>
          <cell r="I1137">
            <v>0</v>
          </cell>
        </row>
        <row r="1138">
          <cell r="C1138">
            <v>0</v>
          </cell>
          <cell r="D1138" t="str">
            <v>BENEFICIO</v>
          </cell>
          <cell r="E1138">
            <v>0</v>
          </cell>
          <cell r="F1138">
            <v>0</v>
          </cell>
          <cell r="G1138">
            <v>0.1</v>
          </cell>
          <cell r="H1138">
            <v>1645.3197290284961</v>
          </cell>
          <cell r="I1138">
            <v>0</v>
          </cell>
        </row>
        <row r="1139">
          <cell r="C1139">
            <v>0</v>
          </cell>
          <cell r="D1139" t="str">
            <v>COSTO TOTAL UNITARIO</v>
          </cell>
          <cell r="E1139">
            <v>0</v>
          </cell>
          <cell r="F1139">
            <v>0</v>
          </cell>
          <cell r="G1139">
            <v>0</v>
          </cell>
          <cell r="H1139">
            <v>23876.256575321928</v>
          </cell>
          <cell r="I1139">
            <v>0</v>
          </cell>
        </row>
        <row r="1140">
          <cell r="C1140">
            <v>0</v>
          </cell>
          <cell r="D1140" t="str">
            <v>IMPUETOS</v>
          </cell>
          <cell r="E1140">
            <v>0</v>
          </cell>
          <cell r="F1140" t="str">
            <v>IIBB</v>
          </cell>
          <cell r="G1140">
            <v>2.4E-2</v>
          </cell>
          <cell r="H1140">
            <v>573.03015780772625</v>
          </cell>
          <cell r="I1140">
            <v>0</v>
          </cell>
        </row>
        <row r="1141">
          <cell r="C1141">
            <v>0</v>
          </cell>
          <cell r="D1141">
            <v>0</v>
          </cell>
          <cell r="E1141">
            <v>0</v>
          </cell>
          <cell r="F1141" t="str">
            <v>IVA</v>
          </cell>
          <cell r="G1141">
            <v>0.21</v>
          </cell>
          <cell r="H1141">
            <v>5014.0138808176043</v>
          </cell>
          <cell r="I1141">
            <v>0</v>
          </cell>
        </row>
        <row r="1142"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</row>
        <row r="1143">
          <cell r="C1143">
            <v>0</v>
          </cell>
          <cell r="D1143" t="str">
            <v>PRECIO TOTAL UNITARIO</v>
          </cell>
          <cell r="E1143">
            <v>0</v>
          </cell>
          <cell r="F1143">
            <v>0</v>
          </cell>
          <cell r="G1143">
            <v>0</v>
          </cell>
          <cell r="H1143">
            <v>29463.30061394726</v>
          </cell>
          <cell r="I1143">
            <v>0</v>
          </cell>
        </row>
        <row r="1144"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</row>
        <row r="1145"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</row>
        <row r="1146">
          <cell r="C1146">
            <v>0</v>
          </cell>
          <cell r="D1146" t="str">
            <v>Rubro:</v>
          </cell>
          <cell r="E1146">
            <v>6</v>
          </cell>
          <cell r="F1146" t="str">
            <v>Tabiques</v>
          </cell>
          <cell r="G1146" t="e">
            <v>#NAME?</v>
          </cell>
          <cell r="H1146" t="e">
            <v>#NAME?</v>
          </cell>
          <cell r="I1146">
            <v>0</v>
          </cell>
        </row>
        <row r="1147">
          <cell r="C1147">
            <v>0</v>
          </cell>
          <cell r="D1147" t="str">
            <v>Sub Rubro:</v>
          </cell>
          <cell r="E1147">
            <v>6.3</v>
          </cell>
          <cell r="F1147" t="str">
            <v>Placa Cementicio</v>
          </cell>
          <cell r="G1147" t="e">
            <v>#NAME?</v>
          </cell>
          <cell r="H1147" t="e">
            <v>#NAME?</v>
          </cell>
          <cell r="I1147">
            <v>0</v>
          </cell>
        </row>
        <row r="1148">
          <cell r="C1148">
            <v>0</v>
          </cell>
          <cell r="D1148" t="str">
            <v>Ítem:</v>
          </cell>
          <cell r="E1148">
            <v>6.3</v>
          </cell>
          <cell r="F1148" t="str">
            <v>Placa Cementicio</v>
          </cell>
          <cell r="G1148" t="e">
            <v>#NAME?</v>
          </cell>
          <cell r="H1148" t="e">
            <v>#NAME?</v>
          </cell>
          <cell r="I1148">
            <v>0</v>
          </cell>
        </row>
        <row r="1149">
          <cell r="C1149">
            <v>0</v>
          </cell>
          <cell r="D1149" t="str">
            <v>Unida:</v>
          </cell>
          <cell r="E1149" t="str">
            <v>m²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</row>
        <row r="1150">
          <cell r="C1150">
            <v>0</v>
          </cell>
          <cell r="D1150" t="str">
            <v>DENOMINACION</v>
          </cell>
          <cell r="E1150" t="str">
            <v>UNIDAD</v>
          </cell>
          <cell r="F1150" t="str">
            <v>COSTO UNITARIO</v>
          </cell>
          <cell r="G1150" t="str">
            <v>RENDIMIENTO POR UNIDAD</v>
          </cell>
          <cell r="H1150" t="str">
            <v>COSTO PARCIAL</v>
          </cell>
          <cell r="I1150">
            <v>0</v>
          </cell>
        </row>
        <row r="1151">
          <cell r="C1151">
            <v>0</v>
          </cell>
          <cell r="D1151" t="str">
            <v>A- MATERIALES: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</row>
        <row r="1152">
          <cell r="C1152">
            <v>0</v>
          </cell>
          <cell r="D1152" t="str">
            <v>Placa Cementicia 10mm</v>
          </cell>
          <cell r="E1152" t="str">
            <v>m²</v>
          </cell>
          <cell r="F1152">
            <v>142.04545454545456</v>
          </cell>
          <cell r="G1152">
            <v>2.0499999999999998</v>
          </cell>
          <cell r="H1152">
            <v>291.19318181818181</v>
          </cell>
          <cell r="I1152">
            <v>0</v>
          </cell>
        </row>
        <row r="1153">
          <cell r="C1153">
            <v>0</v>
          </cell>
          <cell r="D1153" t="str">
            <v>Montante de 70 mm</v>
          </cell>
          <cell r="E1153" t="str">
            <v>ml</v>
          </cell>
          <cell r="F1153">
            <v>18.690400508582329</v>
          </cell>
          <cell r="G1153">
            <v>2.5</v>
          </cell>
          <cell r="H1153">
            <v>46.726001271455821</v>
          </cell>
          <cell r="I1153">
            <v>0</v>
          </cell>
        </row>
        <row r="1154">
          <cell r="C1154">
            <v>0</v>
          </cell>
          <cell r="D1154" t="str">
            <v>Fijación Completa 8 mm</v>
          </cell>
          <cell r="E1154" t="str">
            <v>un</v>
          </cell>
          <cell r="F1154">
            <v>0.80578512396694213</v>
          </cell>
          <cell r="G1154">
            <v>3.5</v>
          </cell>
          <cell r="H1154">
            <v>2.8202479338842976</v>
          </cell>
          <cell r="I1154">
            <v>0</v>
          </cell>
        </row>
        <row r="1155">
          <cell r="C1155">
            <v>0</v>
          </cell>
          <cell r="D1155" t="str">
            <v>Solera de 70 mm</v>
          </cell>
          <cell r="E1155" t="str">
            <v>ml</v>
          </cell>
          <cell r="F1155">
            <v>16.773680864589956</v>
          </cell>
          <cell r="G1155">
            <v>1</v>
          </cell>
          <cell r="H1155">
            <v>16.773680864589956</v>
          </cell>
          <cell r="I1155">
            <v>0</v>
          </cell>
        </row>
        <row r="1156">
          <cell r="C1156">
            <v>0</v>
          </cell>
          <cell r="D1156" t="str">
            <v>T1 PM</v>
          </cell>
          <cell r="E1156" t="str">
            <v>un</v>
          </cell>
          <cell r="F1156">
            <v>0.27272727272727271</v>
          </cell>
          <cell r="G1156">
            <v>8</v>
          </cell>
          <cell r="H1156">
            <v>2.1818181818181817</v>
          </cell>
          <cell r="I1156">
            <v>0</v>
          </cell>
        </row>
        <row r="1157">
          <cell r="C1157">
            <v>0</v>
          </cell>
          <cell r="D1157" t="str">
            <v>T2 PA</v>
          </cell>
          <cell r="E1157" t="str">
            <v>un</v>
          </cell>
          <cell r="F1157">
            <v>0.24793388429752067</v>
          </cell>
          <cell r="G1157">
            <v>26</v>
          </cell>
          <cell r="H1157">
            <v>6.446280991735537</v>
          </cell>
          <cell r="I1157">
            <v>0</v>
          </cell>
        </row>
        <row r="1158">
          <cell r="C1158">
            <v>0</v>
          </cell>
          <cell r="D1158" t="str">
            <v>Masilla</v>
          </cell>
          <cell r="E1158" t="str">
            <v>kg</v>
          </cell>
          <cell r="F1158">
            <v>3.78</v>
          </cell>
          <cell r="G1158">
            <v>1.8</v>
          </cell>
          <cell r="H1158">
            <v>6.8039999999999994</v>
          </cell>
          <cell r="I1158">
            <v>0</v>
          </cell>
        </row>
        <row r="1159">
          <cell r="C1159">
            <v>0</v>
          </cell>
          <cell r="D1159" t="str">
            <v>Cinta</v>
          </cell>
          <cell r="E1159" t="str">
            <v>ml</v>
          </cell>
          <cell r="F1159">
            <v>0.23</v>
          </cell>
          <cell r="G1159">
            <v>3.3</v>
          </cell>
          <cell r="H1159">
            <v>0.75900000000000001</v>
          </cell>
          <cell r="I1159">
            <v>0</v>
          </cell>
        </row>
        <row r="1160">
          <cell r="C1160">
            <v>0</v>
          </cell>
          <cell r="D1160">
            <v>0</v>
          </cell>
          <cell r="E1160" t="str">
            <v>-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</row>
        <row r="1161">
          <cell r="C1161">
            <v>0</v>
          </cell>
          <cell r="D1161">
            <v>0</v>
          </cell>
          <cell r="E1161" t="str">
            <v>-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</row>
        <row r="1162">
          <cell r="C1162">
            <v>0</v>
          </cell>
          <cell r="D1162">
            <v>0</v>
          </cell>
          <cell r="E1162" t="str">
            <v>-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</row>
        <row r="1163">
          <cell r="C1163">
            <v>0</v>
          </cell>
          <cell r="D1163">
            <v>0</v>
          </cell>
          <cell r="E1163" t="str">
            <v>-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</row>
        <row r="1164">
          <cell r="C1164">
            <v>0</v>
          </cell>
          <cell r="D1164">
            <v>0</v>
          </cell>
          <cell r="E1164" t="str">
            <v>-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</row>
        <row r="1165">
          <cell r="C1165">
            <v>0</v>
          </cell>
          <cell r="D1165">
            <v>0</v>
          </cell>
          <cell r="E1165" t="str">
            <v>-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</row>
        <row r="1166">
          <cell r="C1166">
            <v>0</v>
          </cell>
          <cell r="D1166">
            <v>0</v>
          </cell>
          <cell r="E1166" t="str">
            <v>-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</row>
        <row r="1167">
          <cell r="C1167">
            <v>0</v>
          </cell>
          <cell r="D1167">
            <v>0</v>
          </cell>
          <cell r="E1167" t="str">
            <v>-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</row>
        <row r="1168">
          <cell r="C1168">
            <v>0</v>
          </cell>
          <cell r="D1168">
            <v>0</v>
          </cell>
          <cell r="E1168" t="str">
            <v>-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</row>
        <row r="1169">
          <cell r="C1169">
            <v>0</v>
          </cell>
          <cell r="D1169">
            <v>0</v>
          </cell>
          <cell r="E1169" t="str">
            <v>-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</row>
        <row r="1170">
          <cell r="C1170">
            <v>0</v>
          </cell>
          <cell r="D1170">
            <v>0</v>
          </cell>
          <cell r="E1170" t="str">
            <v>-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</row>
        <row r="1171">
          <cell r="C1171">
            <v>0</v>
          </cell>
          <cell r="D1171">
            <v>0</v>
          </cell>
          <cell r="E1171" t="str">
            <v>-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</row>
        <row r="1172">
          <cell r="C1172">
            <v>0</v>
          </cell>
          <cell r="D1172" t="str">
            <v>SUB TOTAL MATERIALES</v>
          </cell>
          <cell r="E1172">
            <v>0</v>
          </cell>
          <cell r="F1172">
            <v>0</v>
          </cell>
          <cell r="G1172">
            <v>0</v>
          </cell>
          <cell r="H1172">
            <v>373.70421106166555</v>
          </cell>
          <cell r="I1172">
            <v>0</v>
          </cell>
        </row>
        <row r="1173">
          <cell r="C1173">
            <v>0</v>
          </cell>
          <cell r="D1173" t="str">
            <v>B- MANO DE OBRA: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</row>
        <row r="1174">
          <cell r="C1174">
            <v>0</v>
          </cell>
          <cell r="D1174" t="str">
            <v>Oficial</v>
          </cell>
          <cell r="E1174" t="str">
            <v>hs</v>
          </cell>
          <cell r="F1174">
            <v>56.619016000000002</v>
          </cell>
          <cell r="G1174">
            <v>2</v>
          </cell>
          <cell r="H1174">
            <v>113.238032</v>
          </cell>
          <cell r="I1174">
            <v>0</v>
          </cell>
        </row>
        <row r="1175">
          <cell r="C1175">
            <v>0</v>
          </cell>
          <cell r="D1175" t="str">
            <v>Ayudante</v>
          </cell>
          <cell r="E1175" t="str">
            <v>hs</v>
          </cell>
          <cell r="F1175">
            <v>48.396512000000008</v>
          </cell>
          <cell r="G1175">
            <v>1.0075512879936461</v>
          </cell>
          <cell r="H1175">
            <v>48.76196799999996</v>
          </cell>
          <cell r="I1175">
            <v>0</v>
          </cell>
        </row>
        <row r="1176">
          <cell r="C1176">
            <v>0</v>
          </cell>
          <cell r="D1176" t="str">
            <v>-</v>
          </cell>
          <cell r="E1176" t="str">
            <v>-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</row>
        <row r="1177">
          <cell r="C1177">
            <v>0</v>
          </cell>
          <cell r="D1177" t="str">
            <v>-</v>
          </cell>
          <cell r="E1177" t="str">
            <v>-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</row>
        <row r="1178">
          <cell r="C1178">
            <v>0</v>
          </cell>
          <cell r="D1178" t="str">
            <v>-</v>
          </cell>
          <cell r="E1178" t="str">
            <v>-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</row>
        <row r="1179">
          <cell r="C1179">
            <v>0</v>
          </cell>
          <cell r="D1179" t="str">
            <v>SUB TOTAL MANO DE OBRA</v>
          </cell>
          <cell r="E1179">
            <v>0</v>
          </cell>
          <cell r="F1179">
            <v>0</v>
          </cell>
          <cell r="G1179">
            <v>0</v>
          </cell>
          <cell r="H1179">
            <v>161.99999999999997</v>
          </cell>
          <cell r="I1179">
            <v>0</v>
          </cell>
        </row>
        <row r="1180">
          <cell r="C1180">
            <v>0</v>
          </cell>
          <cell r="D1180" t="str">
            <v>C- EQUIPOS: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</row>
        <row r="1181">
          <cell r="C1181">
            <v>0</v>
          </cell>
          <cell r="D1181" t="str">
            <v>Herramientas de Mano</v>
          </cell>
          <cell r="E1181" t="str">
            <v>gl</v>
          </cell>
          <cell r="F1181">
            <v>16.071126331849968</v>
          </cell>
          <cell r="G1181">
            <v>1</v>
          </cell>
          <cell r="H1181">
            <v>16.071126331849968</v>
          </cell>
          <cell r="I1181">
            <v>0</v>
          </cell>
        </row>
        <row r="1182">
          <cell r="C1182">
            <v>0</v>
          </cell>
          <cell r="D1182" t="str">
            <v>-</v>
          </cell>
          <cell r="E1182" t="str">
            <v>-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</row>
        <row r="1183">
          <cell r="C1183">
            <v>0</v>
          </cell>
          <cell r="D1183" t="str">
            <v>-</v>
          </cell>
          <cell r="E1183" t="str">
            <v>-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</row>
        <row r="1184">
          <cell r="C1184">
            <v>0</v>
          </cell>
          <cell r="D1184" t="str">
            <v>-</v>
          </cell>
          <cell r="E1184" t="str">
            <v>-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</row>
        <row r="1185">
          <cell r="C1185">
            <v>0</v>
          </cell>
          <cell r="D1185" t="str">
            <v>-</v>
          </cell>
          <cell r="E1185" t="str">
            <v>-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</row>
        <row r="1186">
          <cell r="C1186">
            <v>0</v>
          </cell>
          <cell r="D1186" t="str">
            <v>SUB TOTAL EQUIPOS</v>
          </cell>
          <cell r="E1186">
            <v>0</v>
          </cell>
          <cell r="F1186">
            <v>0</v>
          </cell>
          <cell r="G1186">
            <v>0</v>
          </cell>
          <cell r="H1186">
            <v>16.071126331849968</v>
          </cell>
          <cell r="I1186">
            <v>0</v>
          </cell>
        </row>
        <row r="1187"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</row>
        <row r="1188">
          <cell r="B1188">
            <v>22</v>
          </cell>
          <cell r="C1188">
            <v>0</v>
          </cell>
          <cell r="D1188" t="str">
            <v>COSTO-COSTO</v>
          </cell>
          <cell r="E1188">
            <v>0</v>
          </cell>
          <cell r="F1188">
            <v>0</v>
          </cell>
          <cell r="G1188">
            <v>0</v>
          </cell>
          <cell r="H1188">
            <v>551.77533739351543</v>
          </cell>
          <cell r="I1188">
            <v>0</v>
          </cell>
        </row>
        <row r="1189">
          <cell r="C1189">
            <v>0</v>
          </cell>
          <cell r="D1189" t="str">
            <v>GASTO FINANCIERO</v>
          </cell>
          <cell r="E1189">
            <v>0</v>
          </cell>
          <cell r="F1189">
            <v>0</v>
          </cell>
          <cell r="G1189">
            <v>0.02</v>
          </cell>
          <cell r="H1189">
            <v>11.035506747870309</v>
          </cell>
          <cell r="I1189">
            <v>0</v>
          </cell>
        </row>
        <row r="1190">
          <cell r="C1190">
            <v>0</v>
          </cell>
          <cell r="D1190" t="str">
            <v>SUB TOTAL</v>
          </cell>
          <cell r="E1190">
            <v>0</v>
          </cell>
          <cell r="F1190">
            <v>0</v>
          </cell>
          <cell r="G1190">
            <v>0</v>
          </cell>
          <cell r="H1190">
            <v>562.8108441413857</v>
          </cell>
          <cell r="I1190">
            <v>0</v>
          </cell>
        </row>
        <row r="1191">
          <cell r="C1191">
            <v>0</v>
          </cell>
          <cell r="D1191" t="str">
            <v>GASTOS GENERALES</v>
          </cell>
          <cell r="E1191">
            <v>0</v>
          </cell>
          <cell r="F1191">
            <v>0</v>
          </cell>
          <cell r="G1191">
            <v>0.35116211482007981</v>
          </cell>
          <cell r="H1191">
            <v>197.63784627236333</v>
          </cell>
          <cell r="I1191">
            <v>0</v>
          </cell>
        </row>
        <row r="1192">
          <cell r="C1192">
            <v>0</v>
          </cell>
          <cell r="D1192" t="str">
            <v>BENEFICIO</v>
          </cell>
          <cell r="E1192">
            <v>0</v>
          </cell>
          <cell r="F1192">
            <v>0</v>
          </cell>
          <cell r="G1192">
            <v>0.1</v>
          </cell>
          <cell r="H1192">
            <v>56.281084414138576</v>
          </cell>
          <cell r="I1192">
            <v>0</v>
          </cell>
        </row>
        <row r="1193">
          <cell r="C1193">
            <v>0</v>
          </cell>
          <cell r="D1193" t="str">
            <v>COSTO TOTAL UNITARIO</v>
          </cell>
          <cell r="E1193">
            <v>0</v>
          </cell>
          <cell r="F1193">
            <v>0</v>
          </cell>
          <cell r="G1193">
            <v>0</v>
          </cell>
          <cell r="H1193">
            <v>816.7297748278877</v>
          </cell>
          <cell r="I1193">
            <v>0</v>
          </cell>
        </row>
        <row r="1194">
          <cell r="C1194">
            <v>0</v>
          </cell>
          <cell r="D1194" t="str">
            <v>IMPUETOS</v>
          </cell>
          <cell r="E1194">
            <v>0</v>
          </cell>
          <cell r="F1194" t="str">
            <v>IIBB</v>
          </cell>
          <cell r="G1194">
            <v>2.4E-2</v>
          </cell>
          <cell r="H1194">
            <v>19.601514595869304</v>
          </cell>
          <cell r="I1194">
            <v>0</v>
          </cell>
        </row>
        <row r="1195">
          <cell r="C1195">
            <v>0</v>
          </cell>
          <cell r="D1195">
            <v>0</v>
          </cell>
          <cell r="E1195">
            <v>0</v>
          </cell>
          <cell r="F1195" t="str">
            <v>IVA</v>
          </cell>
          <cell r="G1195">
            <v>0.21</v>
          </cell>
          <cell r="H1195">
            <v>171.51325271385642</v>
          </cell>
          <cell r="I1195">
            <v>0</v>
          </cell>
        </row>
        <row r="1196"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</row>
        <row r="1197">
          <cell r="C1197">
            <v>0</v>
          </cell>
          <cell r="D1197" t="str">
            <v>PRECIO TOTAL UNITARIO</v>
          </cell>
          <cell r="E1197">
            <v>0</v>
          </cell>
          <cell r="F1197">
            <v>0</v>
          </cell>
          <cell r="G1197">
            <v>0</v>
          </cell>
          <cell r="H1197">
            <v>1007.8445421376134</v>
          </cell>
          <cell r="I1197">
            <v>0</v>
          </cell>
        </row>
        <row r="1198"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</row>
        <row r="1199"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</row>
        <row r="1200">
          <cell r="C1200">
            <v>0</v>
          </cell>
          <cell r="D1200" t="str">
            <v>Rubro:</v>
          </cell>
          <cell r="E1200">
            <v>6</v>
          </cell>
          <cell r="F1200" t="str">
            <v>Tabiques</v>
          </cell>
          <cell r="G1200" t="e">
            <v>#NAME?</v>
          </cell>
          <cell r="H1200" t="e">
            <v>#NAME?</v>
          </cell>
          <cell r="I1200">
            <v>0</v>
          </cell>
        </row>
        <row r="1201">
          <cell r="C1201">
            <v>0</v>
          </cell>
          <cell r="D1201" t="str">
            <v>Sub Rubro:</v>
          </cell>
          <cell r="E1201">
            <v>6.4</v>
          </cell>
          <cell r="F1201" t="str">
            <v>De Ladrillon</v>
          </cell>
          <cell r="G1201" t="e">
            <v>#NAME?</v>
          </cell>
          <cell r="H1201" t="e">
            <v>#NAME?</v>
          </cell>
          <cell r="I1201">
            <v>0</v>
          </cell>
        </row>
        <row r="1202">
          <cell r="C1202">
            <v>0</v>
          </cell>
          <cell r="D1202" t="str">
            <v>Ítem:</v>
          </cell>
          <cell r="E1202">
            <v>6.4</v>
          </cell>
          <cell r="F1202" t="str">
            <v>De Ladrillon</v>
          </cell>
          <cell r="G1202" t="e">
            <v>#NAME?</v>
          </cell>
          <cell r="H1202" t="e">
            <v>#NAME?</v>
          </cell>
          <cell r="I1202">
            <v>0</v>
          </cell>
        </row>
        <row r="1203">
          <cell r="C1203">
            <v>0</v>
          </cell>
          <cell r="D1203" t="str">
            <v>Unida:</v>
          </cell>
          <cell r="E1203" t="str">
            <v>m²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</row>
        <row r="1204">
          <cell r="C1204">
            <v>0</v>
          </cell>
          <cell r="D1204" t="str">
            <v>DENOMINACION</v>
          </cell>
          <cell r="E1204" t="str">
            <v>UNIDAD</v>
          </cell>
          <cell r="F1204" t="str">
            <v>COSTO UNITARIO</v>
          </cell>
          <cell r="G1204" t="str">
            <v>RENDIMIENTO POR UNIDAD</v>
          </cell>
          <cell r="H1204" t="str">
            <v>COSTO PARCIAL</v>
          </cell>
          <cell r="I1204">
            <v>0</v>
          </cell>
        </row>
        <row r="1205">
          <cell r="C1205">
            <v>0</v>
          </cell>
          <cell r="D1205" t="str">
            <v>A- MATERIALES: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</row>
        <row r="1206">
          <cell r="C1206">
            <v>0</v>
          </cell>
          <cell r="D1206" t="str">
            <v>Ladrillo comun</v>
          </cell>
          <cell r="E1206" t="str">
            <v>un</v>
          </cell>
          <cell r="F1206">
            <v>2.9</v>
          </cell>
          <cell r="G1206">
            <v>50</v>
          </cell>
          <cell r="H1206">
            <v>145</v>
          </cell>
          <cell r="I1206">
            <v>0</v>
          </cell>
        </row>
        <row r="1207">
          <cell r="C1207">
            <v>0</v>
          </cell>
          <cell r="D1207" t="str">
            <v>Cemento Normal</v>
          </cell>
          <cell r="E1207" t="str">
            <v>kg</v>
          </cell>
          <cell r="F1207">
            <v>1.35</v>
          </cell>
          <cell r="G1207">
            <v>5</v>
          </cell>
          <cell r="H1207">
            <v>6.75</v>
          </cell>
          <cell r="I1207">
            <v>0</v>
          </cell>
        </row>
        <row r="1208">
          <cell r="C1208">
            <v>0</v>
          </cell>
          <cell r="D1208" t="str">
            <v>Arena Mediana</v>
          </cell>
          <cell r="E1208" t="str">
            <v>m³</v>
          </cell>
          <cell r="F1208">
            <v>100</v>
          </cell>
          <cell r="G1208">
            <v>0.11</v>
          </cell>
          <cell r="H1208">
            <v>11</v>
          </cell>
          <cell r="I1208">
            <v>0</v>
          </cell>
        </row>
        <row r="1209">
          <cell r="C1209">
            <v>0</v>
          </cell>
          <cell r="D1209" t="str">
            <v>Hierro</v>
          </cell>
          <cell r="E1209" t="str">
            <v>kg</v>
          </cell>
          <cell r="F1209">
            <v>10</v>
          </cell>
          <cell r="G1209">
            <v>0.53</v>
          </cell>
          <cell r="H1209">
            <v>5.3000000000000007</v>
          </cell>
          <cell r="I1209">
            <v>0</v>
          </cell>
        </row>
        <row r="1210">
          <cell r="C1210">
            <v>0</v>
          </cell>
          <cell r="D1210" t="str">
            <v>Cemento de Albañileria</v>
          </cell>
          <cell r="E1210" t="str">
            <v>kg</v>
          </cell>
          <cell r="F1210">
            <v>0.96</v>
          </cell>
          <cell r="G1210">
            <v>17</v>
          </cell>
          <cell r="H1210">
            <v>16.32</v>
          </cell>
          <cell r="I1210">
            <v>0</v>
          </cell>
        </row>
        <row r="1211">
          <cell r="C1211">
            <v>0</v>
          </cell>
          <cell r="D1211">
            <v>0</v>
          </cell>
          <cell r="E1211" t="str">
            <v>-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</row>
        <row r="1212">
          <cell r="C1212">
            <v>0</v>
          </cell>
          <cell r="D1212">
            <v>0</v>
          </cell>
          <cell r="E1212" t="str">
            <v>-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</row>
        <row r="1213">
          <cell r="C1213">
            <v>0</v>
          </cell>
          <cell r="D1213">
            <v>0</v>
          </cell>
          <cell r="E1213" t="str">
            <v>-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</row>
        <row r="1214">
          <cell r="C1214">
            <v>0</v>
          </cell>
          <cell r="D1214">
            <v>0</v>
          </cell>
          <cell r="E1214" t="str">
            <v>-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</row>
        <row r="1215">
          <cell r="C1215">
            <v>0</v>
          </cell>
          <cell r="D1215">
            <v>0</v>
          </cell>
          <cell r="E1215" t="str">
            <v>-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</row>
        <row r="1216">
          <cell r="C1216">
            <v>0</v>
          </cell>
          <cell r="D1216">
            <v>0</v>
          </cell>
          <cell r="E1216" t="str">
            <v>-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</row>
        <row r="1217">
          <cell r="C1217">
            <v>0</v>
          </cell>
          <cell r="D1217">
            <v>0</v>
          </cell>
          <cell r="E1217" t="str">
            <v>-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</row>
        <row r="1218">
          <cell r="C1218">
            <v>0</v>
          </cell>
          <cell r="D1218">
            <v>0</v>
          </cell>
          <cell r="E1218" t="str">
            <v>-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</row>
        <row r="1219">
          <cell r="C1219">
            <v>0</v>
          </cell>
          <cell r="D1219">
            <v>0</v>
          </cell>
          <cell r="E1219" t="str">
            <v>-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</row>
        <row r="1220">
          <cell r="C1220">
            <v>0</v>
          </cell>
          <cell r="D1220">
            <v>0</v>
          </cell>
          <cell r="E1220" t="str">
            <v>-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</row>
        <row r="1221">
          <cell r="C1221">
            <v>0</v>
          </cell>
          <cell r="D1221">
            <v>0</v>
          </cell>
          <cell r="E1221" t="str">
            <v>-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</row>
        <row r="1222">
          <cell r="C1222">
            <v>0</v>
          </cell>
          <cell r="D1222">
            <v>0</v>
          </cell>
          <cell r="E1222" t="str">
            <v>-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</row>
        <row r="1223">
          <cell r="C1223">
            <v>0</v>
          </cell>
          <cell r="D1223">
            <v>0</v>
          </cell>
          <cell r="E1223" t="str">
            <v>-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</row>
        <row r="1224">
          <cell r="C1224">
            <v>0</v>
          </cell>
          <cell r="D1224">
            <v>0</v>
          </cell>
          <cell r="E1224" t="str">
            <v>-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</row>
        <row r="1225">
          <cell r="C1225">
            <v>0</v>
          </cell>
          <cell r="D1225">
            <v>0</v>
          </cell>
          <cell r="E1225" t="str">
            <v>-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</row>
        <row r="1226">
          <cell r="C1226">
            <v>0</v>
          </cell>
          <cell r="D1226" t="str">
            <v>SUB TOTAL MATERIALES</v>
          </cell>
          <cell r="E1226">
            <v>0</v>
          </cell>
          <cell r="F1226">
            <v>0</v>
          </cell>
          <cell r="G1226">
            <v>0</v>
          </cell>
          <cell r="H1226">
            <v>184.37</v>
          </cell>
          <cell r="I1226">
            <v>0</v>
          </cell>
        </row>
        <row r="1227">
          <cell r="C1227">
            <v>0</v>
          </cell>
          <cell r="D1227" t="str">
            <v>B- MANO DE OBRA: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</row>
        <row r="1228">
          <cell r="C1228">
            <v>0</v>
          </cell>
          <cell r="D1228" t="str">
            <v>Oficial</v>
          </cell>
          <cell r="E1228" t="str">
            <v>hs</v>
          </cell>
          <cell r="F1228">
            <v>56.619016000000002</v>
          </cell>
          <cell r="G1228">
            <v>1</v>
          </cell>
          <cell r="H1228">
            <v>56.619016000000002</v>
          </cell>
          <cell r="I1228">
            <v>0</v>
          </cell>
        </row>
        <row r="1229">
          <cell r="C1229">
            <v>0</v>
          </cell>
          <cell r="D1229" t="str">
            <v>Ayudante</v>
          </cell>
          <cell r="E1229" t="str">
            <v>hs</v>
          </cell>
          <cell r="F1229">
            <v>48.396512000000008</v>
          </cell>
          <cell r="G1229">
            <v>0.87570327382270818</v>
          </cell>
          <cell r="H1229">
            <v>42.380983999999991</v>
          </cell>
          <cell r="I1229">
            <v>0</v>
          </cell>
        </row>
        <row r="1230">
          <cell r="C1230">
            <v>0</v>
          </cell>
          <cell r="D1230" t="str">
            <v>-</v>
          </cell>
          <cell r="E1230" t="str">
            <v>-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</row>
        <row r="1231">
          <cell r="C1231">
            <v>0</v>
          </cell>
          <cell r="D1231" t="str">
            <v>-</v>
          </cell>
          <cell r="E1231" t="str">
            <v>-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</row>
        <row r="1232">
          <cell r="C1232">
            <v>0</v>
          </cell>
          <cell r="D1232" t="str">
            <v>-</v>
          </cell>
          <cell r="E1232" t="str">
            <v>-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</row>
        <row r="1233">
          <cell r="C1233">
            <v>0</v>
          </cell>
          <cell r="D1233" t="str">
            <v>SUB TOTAL MANO DE OBRA</v>
          </cell>
          <cell r="E1233">
            <v>0</v>
          </cell>
          <cell r="F1233">
            <v>0</v>
          </cell>
          <cell r="G1233">
            <v>0</v>
          </cell>
          <cell r="H1233">
            <v>99</v>
          </cell>
          <cell r="I1233">
            <v>0</v>
          </cell>
        </row>
        <row r="1234">
          <cell r="C1234">
            <v>0</v>
          </cell>
          <cell r="D1234" t="str">
            <v>C- EQUIPOS:</v>
          </cell>
          <cell r="E1234">
            <v>0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</row>
        <row r="1235">
          <cell r="C1235">
            <v>0</v>
          </cell>
          <cell r="D1235" t="str">
            <v>Herramientas de Mano</v>
          </cell>
          <cell r="E1235" t="str">
            <v>gl</v>
          </cell>
          <cell r="F1235">
            <v>8.5010999999999992</v>
          </cell>
          <cell r="G1235">
            <v>1</v>
          </cell>
          <cell r="H1235">
            <v>8.5010999999999992</v>
          </cell>
          <cell r="I1235">
            <v>0</v>
          </cell>
        </row>
        <row r="1236">
          <cell r="C1236">
            <v>0</v>
          </cell>
          <cell r="D1236" t="str">
            <v>Hormigonera</v>
          </cell>
          <cell r="E1236" t="str">
            <v>hs</v>
          </cell>
          <cell r="F1236">
            <v>200</v>
          </cell>
          <cell r="G1236">
            <v>0.05</v>
          </cell>
          <cell r="H1236">
            <v>10</v>
          </cell>
          <cell r="I1236">
            <v>0</v>
          </cell>
        </row>
        <row r="1237">
          <cell r="C1237">
            <v>0</v>
          </cell>
          <cell r="D1237" t="str">
            <v>-</v>
          </cell>
          <cell r="E1237" t="str">
            <v>-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</row>
        <row r="1238">
          <cell r="C1238">
            <v>0</v>
          </cell>
          <cell r="D1238" t="str">
            <v>-</v>
          </cell>
          <cell r="E1238" t="str">
            <v>-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</row>
        <row r="1239">
          <cell r="C1239">
            <v>0</v>
          </cell>
          <cell r="D1239" t="str">
            <v>-</v>
          </cell>
          <cell r="E1239" t="str">
            <v>-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</row>
        <row r="1240">
          <cell r="C1240">
            <v>0</v>
          </cell>
          <cell r="D1240" t="str">
            <v>SUB TOTAL EQUIPOS</v>
          </cell>
          <cell r="E1240">
            <v>0</v>
          </cell>
          <cell r="F1240">
            <v>0</v>
          </cell>
          <cell r="G1240">
            <v>0</v>
          </cell>
          <cell r="H1240">
            <v>18.501100000000001</v>
          </cell>
          <cell r="I1240">
            <v>0</v>
          </cell>
        </row>
        <row r="1241"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</row>
        <row r="1242">
          <cell r="B1242">
            <v>23</v>
          </cell>
          <cell r="C1242">
            <v>0</v>
          </cell>
          <cell r="D1242" t="str">
            <v>COSTO-COSTO</v>
          </cell>
          <cell r="E1242">
            <v>0</v>
          </cell>
          <cell r="F1242">
            <v>0</v>
          </cell>
          <cell r="G1242">
            <v>0</v>
          </cell>
          <cell r="H1242">
            <v>301.87110000000001</v>
          </cell>
          <cell r="I1242">
            <v>0</v>
          </cell>
        </row>
        <row r="1243">
          <cell r="C1243">
            <v>0</v>
          </cell>
          <cell r="D1243" t="str">
            <v>GASTO FINANCIERO</v>
          </cell>
          <cell r="E1243">
            <v>0</v>
          </cell>
          <cell r="F1243">
            <v>0</v>
          </cell>
          <cell r="G1243">
            <v>0.02</v>
          </cell>
          <cell r="H1243">
            <v>6.0374220000000003</v>
          </cell>
          <cell r="I1243">
            <v>0</v>
          </cell>
        </row>
        <row r="1244">
          <cell r="C1244">
            <v>0</v>
          </cell>
          <cell r="D1244" t="str">
            <v>SUB TOTAL</v>
          </cell>
          <cell r="E1244">
            <v>0</v>
          </cell>
          <cell r="F1244">
            <v>0</v>
          </cell>
          <cell r="G1244">
            <v>0</v>
          </cell>
          <cell r="H1244">
            <v>307.908522</v>
          </cell>
          <cell r="I1244">
            <v>0</v>
          </cell>
        </row>
        <row r="1245">
          <cell r="C1245">
            <v>0</v>
          </cell>
          <cell r="D1245" t="str">
            <v>GASTOS GENERALES</v>
          </cell>
          <cell r="E1245">
            <v>0</v>
          </cell>
          <cell r="F1245">
            <v>0</v>
          </cell>
          <cell r="G1245">
            <v>0.35116211482007981</v>
          </cell>
          <cell r="H1245">
            <v>108.12580775664507</v>
          </cell>
          <cell r="I1245">
            <v>0</v>
          </cell>
        </row>
        <row r="1246">
          <cell r="C1246">
            <v>0</v>
          </cell>
          <cell r="D1246" t="str">
            <v>BENEFICIO</v>
          </cell>
          <cell r="E1246">
            <v>0</v>
          </cell>
          <cell r="F1246">
            <v>0</v>
          </cell>
          <cell r="G1246">
            <v>0.1</v>
          </cell>
          <cell r="H1246">
            <v>30.790852200000003</v>
          </cell>
          <cell r="I1246">
            <v>0</v>
          </cell>
        </row>
        <row r="1247">
          <cell r="C1247">
            <v>0</v>
          </cell>
          <cell r="D1247" t="str">
            <v>COSTO TOTAL UNITARIO</v>
          </cell>
          <cell r="E1247">
            <v>0</v>
          </cell>
          <cell r="F1247">
            <v>0</v>
          </cell>
          <cell r="G1247">
            <v>0</v>
          </cell>
          <cell r="H1247">
            <v>446.82518195664511</v>
          </cell>
          <cell r="I1247">
            <v>0</v>
          </cell>
        </row>
        <row r="1248">
          <cell r="C1248">
            <v>0</v>
          </cell>
          <cell r="D1248" t="str">
            <v>IMPUETOS</v>
          </cell>
          <cell r="E1248">
            <v>0</v>
          </cell>
          <cell r="F1248" t="str">
            <v>IIBB</v>
          </cell>
          <cell r="G1248">
            <v>2.4E-2</v>
          </cell>
          <cell r="H1248">
            <v>10.723804366959483</v>
          </cell>
          <cell r="I1248">
            <v>0</v>
          </cell>
        </row>
        <row r="1249">
          <cell r="C1249">
            <v>0</v>
          </cell>
          <cell r="D1249">
            <v>0</v>
          </cell>
          <cell r="E1249">
            <v>0</v>
          </cell>
          <cell r="F1249" t="str">
            <v>IVA</v>
          </cell>
          <cell r="G1249">
            <v>0.21</v>
          </cell>
          <cell r="H1249">
            <v>93.833288210895475</v>
          </cell>
          <cell r="I1249">
            <v>0</v>
          </cell>
        </row>
        <row r="1250"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</row>
        <row r="1251">
          <cell r="C1251">
            <v>0</v>
          </cell>
          <cell r="D1251" t="str">
            <v>PRECIO TOTAL UNITARIO</v>
          </cell>
          <cell r="E1251">
            <v>0</v>
          </cell>
          <cell r="F1251">
            <v>0</v>
          </cell>
          <cell r="G1251">
            <v>0</v>
          </cell>
          <cell r="H1251">
            <v>551.38227453450008</v>
          </cell>
          <cell r="I1251">
            <v>0</v>
          </cell>
        </row>
        <row r="1252"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</row>
        <row r="1253"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</row>
        <row r="1254">
          <cell r="C1254">
            <v>0</v>
          </cell>
          <cell r="D1254" t="str">
            <v>Rubro:</v>
          </cell>
          <cell r="E1254">
            <v>7</v>
          </cell>
          <cell r="F1254" t="str">
            <v>Cielo Raso</v>
          </cell>
          <cell r="G1254" t="e">
            <v>#NAME?</v>
          </cell>
          <cell r="H1254" t="e">
            <v>#NAME?</v>
          </cell>
          <cell r="I1254">
            <v>0</v>
          </cell>
        </row>
        <row r="1255">
          <cell r="C1255">
            <v>0</v>
          </cell>
          <cell r="D1255" t="str">
            <v>Sub Rubro:</v>
          </cell>
          <cell r="E1255">
            <v>7.1</v>
          </cell>
          <cell r="F1255" t="str">
            <v>De Placa de roca de yeso Suspendido</v>
          </cell>
          <cell r="G1255" t="e">
            <v>#NAME?</v>
          </cell>
          <cell r="H1255" t="e">
            <v>#NAME?</v>
          </cell>
          <cell r="I1255">
            <v>0</v>
          </cell>
        </row>
        <row r="1256">
          <cell r="C1256">
            <v>0</v>
          </cell>
          <cell r="D1256" t="str">
            <v>Ítem:</v>
          </cell>
          <cell r="E1256">
            <v>7.1</v>
          </cell>
          <cell r="F1256" t="str">
            <v>De Placa de roca de yeso Suspendido</v>
          </cell>
          <cell r="G1256" t="e">
            <v>#NAME?</v>
          </cell>
          <cell r="H1256" t="e">
            <v>#NAME?</v>
          </cell>
          <cell r="I1256">
            <v>0</v>
          </cell>
        </row>
        <row r="1257">
          <cell r="C1257">
            <v>0</v>
          </cell>
          <cell r="D1257" t="str">
            <v>Unida:</v>
          </cell>
          <cell r="E1257" t="str">
            <v>m²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</row>
        <row r="1258">
          <cell r="C1258">
            <v>0</v>
          </cell>
          <cell r="D1258" t="str">
            <v>DENOMINACION</v>
          </cell>
          <cell r="E1258" t="str">
            <v>UNIDAD</v>
          </cell>
          <cell r="F1258" t="str">
            <v>COSTO UNITARIO</v>
          </cell>
          <cell r="G1258" t="str">
            <v>RENDIMIENTO POR UNIDAD</v>
          </cell>
          <cell r="H1258" t="str">
            <v>COSTO PARCIAL</v>
          </cell>
          <cell r="I1258">
            <v>0</v>
          </cell>
        </row>
        <row r="1259">
          <cell r="C1259">
            <v>0</v>
          </cell>
          <cell r="D1259" t="str">
            <v>A- MATERIALES:</v>
          </cell>
          <cell r="E1259">
            <v>0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</row>
        <row r="1260">
          <cell r="C1260">
            <v>0</v>
          </cell>
          <cell r="D1260" t="str">
            <v>Placa 12,5 mm</v>
          </cell>
          <cell r="E1260" t="str">
            <v>m²</v>
          </cell>
          <cell r="F1260">
            <v>35.51136363636364</v>
          </cell>
          <cell r="G1260">
            <v>1.05</v>
          </cell>
          <cell r="H1260">
            <v>37.286931818181827</v>
          </cell>
          <cell r="I1260">
            <v>0</v>
          </cell>
        </row>
        <row r="1261">
          <cell r="C1261">
            <v>0</v>
          </cell>
          <cell r="D1261" t="str">
            <v>Cantonera</v>
          </cell>
          <cell r="E1261" t="str">
            <v>ml</v>
          </cell>
          <cell r="F1261">
            <v>8.5823267641449448</v>
          </cell>
          <cell r="G1261">
            <v>1.5</v>
          </cell>
          <cell r="H1261">
            <v>12.873490146217417</v>
          </cell>
          <cell r="I1261">
            <v>0</v>
          </cell>
        </row>
        <row r="1262">
          <cell r="C1262">
            <v>0</v>
          </cell>
          <cell r="D1262" t="str">
            <v>Montante de 35 mm</v>
          </cell>
          <cell r="E1262" t="str">
            <v>ml</v>
          </cell>
          <cell r="F1262">
            <v>14.16083916083916</v>
          </cell>
          <cell r="G1262">
            <v>3.5</v>
          </cell>
          <cell r="H1262">
            <v>49.56293706293706</v>
          </cell>
          <cell r="I1262">
            <v>0</v>
          </cell>
        </row>
        <row r="1263">
          <cell r="C1263">
            <v>0</v>
          </cell>
          <cell r="D1263" t="str">
            <v>Solera de 35 mm</v>
          </cell>
          <cell r="E1263" t="str">
            <v>ml</v>
          </cell>
          <cell r="F1263">
            <v>12.587412587412587</v>
          </cell>
          <cell r="G1263">
            <v>1.5</v>
          </cell>
          <cell r="H1263">
            <v>18.88111888111888</v>
          </cell>
          <cell r="I1263">
            <v>0</v>
          </cell>
        </row>
        <row r="1264">
          <cell r="C1264">
            <v>0</v>
          </cell>
          <cell r="D1264" t="str">
            <v>T1 PM</v>
          </cell>
          <cell r="E1264" t="str">
            <v>un</v>
          </cell>
          <cell r="F1264">
            <v>0.27272727272727271</v>
          </cell>
          <cell r="G1264">
            <v>8</v>
          </cell>
          <cell r="H1264">
            <v>2.1818181818181817</v>
          </cell>
          <cell r="I1264">
            <v>0</v>
          </cell>
        </row>
        <row r="1265">
          <cell r="C1265">
            <v>0</v>
          </cell>
          <cell r="D1265" t="str">
            <v>T2 PA</v>
          </cell>
          <cell r="E1265" t="str">
            <v>un</v>
          </cell>
          <cell r="F1265">
            <v>0.24793388429752067</v>
          </cell>
          <cell r="G1265">
            <v>14</v>
          </cell>
          <cell r="H1265">
            <v>3.4710743801652892</v>
          </cell>
          <cell r="I1265">
            <v>0</v>
          </cell>
        </row>
        <row r="1266">
          <cell r="C1266">
            <v>0</v>
          </cell>
          <cell r="D1266" t="str">
            <v>Fijación Completa 8 mm</v>
          </cell>
          <cell r="E1266" t="str">
            <v>un</v>
          </cell>
          <cell r="F1266">
            <v>0.80578512396694213</v>
          </cell>
          <cell r="G1266">
            <v>3.5</v>
          </cell>
          <cell r="H1266">
            <v>2.8202479338842976</v>
          </cell>
          <cell r="I1266">
            <v>0</v>
          </cell>
        </row>
        <row r="1267">
          <cell r="C1267">
            <v>0</v>
          </cell>
          <cell r="D1267" t="str">
            <v>Masilla</v>
          </cell>
          <cell r="E1267" t="str">
            <v>kg</v>
          </cell>
          <cell r="F1267">
            <v>3.78</v>
          </cell>
          <cell r="G1267">
            <v>1.8</v>
          </cell>
          <cell r="H1267">
            <v>6.8039999999999994</v>
          </cell>
          <cell r="I1267">
            <v>0</v>
          </cell>
        </row>
        <row r="1268">
          <cell r="C1268">
            <v>0</v>
          </cell>
          <cell r="D1268" t="str">
            <v>Cinta</v>
          </cell>
          <cell r="E1268" t="str">
            <v>ml</v>
          </cell>
          <cell r="F1268">
            <v>0.23</v>
          </cell>
          <cell r="G1268">
            <v>3.3</v>
          </cell>
          <cell r="H1268">
            <v>0.75900000000000001</v>
          </cell>
          <cell r="I1268">
            <v>0</v>
          </cell>
        </row>
        <row r="1269">
          <cell r="C1269">
            <v>0</v>
          </cell>
          <cell r="D1269">
            <v>0</v>
          </cell>
          <cell r="E1269" t="str">
            <v>-</v>
          </cell>
          <cell r="F1269">
            <v>0</v>
          </cell>
          <cell r="G1269">
            <v>0</v>
          </cell>
          <cell r="H1269">
            <v>0</v>
          </cell>
          <cell r="I1269">
            <v>0</v>
          </cell>
        </row>
        <row r="1270">
          <cell r="C1270">
            <v>0</v>
          </cell>
          <cell r="D1270">
            <v>0</v>
          </cell>
          <cell r="E1270" t="str">
            <v>-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</row>
        <row r="1271">
          <cell r="C1271">
            <v>0</v>
          </cell>
          <cell r="D1271">
            <v>0</v>
          </cell>
          <cell r="E1271" t="str">
            <v>-</v>
          </cell>
          <cell r="F1271">
            <v>0</v>
          </cell>
          <cell r="G1271">
            <v>0</v>
          </cell>
          <cell r="H1271">
            <v>0</v>
          </cell>
          <cell r="I1271">
            <v>0</v>
          </cell>
        </row>
        <row r="1272">
          <cell r="C1272">
            <v>0</v>
          </cell>
          <cell r="D1272">
            <v>0</v>
          </cell>
          <cell r="E1272" t="str">
            <v>-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</row>
        <row r="1273">
          <cell r="C1273">
            <v>0</v>
          </cell>
          <cell r="D1273">
            <v>0</v>
          </cell>
          <cell r="E1273" t="str">
            <v>-</v>
          </cell>
          <cell r="F1273">
            <v>0</v>
          </cell>
          <cell r="G1273">
            <v>0</v>
          </cell>
          <cell r="H1273">
            <v>0</v>
          </cell>
          <cell r="I1273">
            <v>0</v>
          </cell>
        </row>
        <row r="1274">
          <cell r="C1274">
            <v>0</v>
          </cell>
          <cell r="D1274">
            <v>0</v>
          </cell>
          <cell r="E1274" t="str">
            <v>-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</row>
        <row r="1275">
          <cell r="C1275">
            <v>0</v>
          </cell>
          <cell r="D1275">
            <v>0</v>
          </cell>
          <cell r="E1275" t="str">
            <v>-</v>
          </cell>
          <cell r="F1275">
            <v>0</v>
          </cell>
          <cell r="G1275">
            <v>0</v>
          </cell>
          <cell r="H1275">
            <v>0</v>
          </cell>
          <cell r="I1275">
            <v>0</v>
          </cell>
        </row>
        <row r="1276">
          <cell r="C1276">
            <v>0</v>
          </cell>
          <cell r="D1276">
            <v>0</v>
          </cell>
          <cell r="E1276" t="str">
            <v>-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</row>
        <row r="1277">
          <cell r="C1277">
            <v>0</v>
          </cell>
          <cell r="D1277">
            <v>0</v>
          </cell>
          <cell r="E1277" t="str">
            <v>-</v>
          </cell>
          <cell r="F1277">
            <v>0</v>
          </cell>
          <cell r="G1277">
            <v>0</v>
          </cell>
          <cell r="H1277">
            <v>0</v>
          </cell>
          <cell r="I1277">
            <v>0</v>
          </cell>
        </row>
        <row r="1278">
          <cell r="C1278">
            <v>0</v>
          </cell>
          <cell r="D1278">
            <v>0</v>
          </cell>
          <cell r="E1278" t="str">
            <v>-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</row>
        <row r="1279">
          <cell r="C1279">
            <v>0</v>
          </cell>
          <cell r="D1279">
            <v>0</v>
          </cell>
          <cell r="E1279" t="str">
            <v>-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</row>
        <row r="1280">
          <cell r="C1280">
            <v>0</v>
          </cell>
          <cell r="D1280" t="str">
            <v>SUB TOTAL MATERIALES</v>
          </cell>
          <cell r="E1280">
            <v>0</v>
          </cell>
          <cell r="F1280">
            <v>0</v>
          </cell>
          <cell r="G1280">
            <v>0</v>
          </cell>
          <cell r="H1280">
            <v>134.64061840432294</v>
          </cell>
          <cell r="I1280">
            <v>0</v>
          </cell>
        </row>
        <row r="1281">
          <cell r="C1281">
            <v>0</v>
          </cell>
          <cell r="D1281" t="str">
            <v>B- MANO DE OBRA:</v>
          </cell>
          <cell r="E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</row>
        <row r="1282">
          <cell r="C1282">
            <v>0</v>
          </cell>
          <cell r="D1282" t="str">
            <v>Oficial</v>
          </cell>
          <cell r="E1282" t="str">
            <v>hs</v>
          </cell>
          <cell r="F1282">
            <v>56.619016000000002</v>
          </cell>
          <cell r="G1282">
            <v>2</v>
          </cell>
          <cell r="H1282">
            <v>113.238032</v>
          </cell>
          <cell r="I1282">
            <v>0</v>
          </cell>
        </row>
        <row r="1283">
          <cell r="C1283">
            <v>0</v>
          </cell>
          <cell r="D1283" t="str">
            <v>Ayudante</v>
          </cell>
          <cell r="E1283" t="str">
            <v>hs</v>
          </cell>
          <cell r="F1283">
            <v>48.396512000000008</v>
          </cell>
          <cell r="G1283">
            <v>1.007551287993649</v>
          </cell>
          <cell r="H1283">
            <v>48.761968000000095</v>
          </cell>
          <cell r="I1283">
            <v>0</v>
          </cell>
        </row>
        <row r="1284">
          <cell r="C1284">
            <v>0</v>
          </cell>
          <cell r="D1284" t="str">
            <v>-</v>
          </cell>
          <cell r="E1284" t="str">
            <v>-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</row>
        <row r="1285">
          <cell r="C1285">
            <v>0</v>
          </cell>
          <cell r="D1285" t="str">
            <v>-</v>
          </cell>
          <cell r="E1285" t="str">
            <v>-</v>
          </cell>
          <cell r="F1285">
            <v>0</v>
          </cell>
          <cell r="G1285">
            <v>0</v>
          </cell>
          <cell r="H1285">
            <v>0</v>
          </cell>
          <cell r="I1285">
            <v>0</v>
          </cell>
        </row>
        <row r="1286">
          <cell r="C1286">
            <v>0</v>
          </cell>
          <cell r="D1286" t="str">
            <v>-</v>
          </cell>
          <cell r="E1286" t="str">
            <v>-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</row>
        <row r="1287">
          <cell r="C1287">
            <v>0</v>
          </cell>
          <cell r="D1287" t="str">
            <v>SUB TOTAL MANO DE OBRA</v>
          </cell>
          <cell r="E1287">
            <v>0</v>
          </cell>
          <cell r="F1287">
            <v>0</v>
          </cell>
          <cell r="G1287">
            <v>0</v>
          </cell>
          <cell r="H1287">
            <v>162.00000000000011</v>
          </cell>
          <cell r="I1287">
            <v>0</v>
          </cell>
        </row>
        <row r="1288">
          <cell r="C1288">
            <v>0</v>
          </cell>
          <cell r="D1288" t="str">
            <v>C- EQUIPOS:</v>
          </cell>
          <cell r="E1288">
            <v>0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</row>
        <row r="1289">
          <cell r="C1289">
            <v>0</v>
          </cell>
          <cell r="D1289" t="str">
            <v>Herramientas de Mano</v>
          </cell>
          <cell r="E1289" t="str">
            <v>gl</v>
          </cell>
          <cell r="F1289">
            <v>8.8992185521296907</v>
          </cell>
          <cell r="G1289">
            <v>1</v>
          </cell>
          <cell r="H1289">
            <v>8.8992185521296907</v>
          </cell>
          <cell r="I1289">
            <v>0</v>
          </cell>
        </row>
        <row r="1290">
          <cell r="C1290">
            <v>0</v>
          </cell>
          <cell r="D1290" t="str">
            <v>-</v>
          </cell>
          <cell r="E1290" t="str">
            <v>-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</row>
        <row r="1291">
          <cell r="C1291">
            <v>0</v>
          </cell>
          <cell r="D1291" t="str">
            <v>-</v>
          </cell>
          <cell r="E1291" t="str">
            <v>-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</row>
        <row r="1292">
          <cell r="C1292">
            <v>0</v>
          </cell>
          <cell r="D1292" t="str">
            <v>-</v>
          </cell>
          <cell r="E1292" t="str">
            <v>-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</row>
        <row r="1293">
          <cell r="C1293">
            <v>0</v>
          </cell>
          <cell r="D1293" t="str">
            <v>-</v>
          </cell>
          <cell r="E1293" t="str">
            <v>-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</row>
        <row r="1294">
          <cell r="C1294">
            <v>0</v>
          </cell>
          <cell r="D1294" t="str">
            <v>SUB TOTAL EQUIPOS</v>
          </cell>
          <cell r="E1294">
            <v>0</v>
          </cell>
          <cell r="F1294">
            <v>0</v>
          </cell>
          <cell r="G1294">
            <v>0</v>
          </cell>
          <cell r="H1294">
            <v>8.8992185521296907</v>
          </cell>
          <cell r="I1294">
            <v>0</v>
          </cell>
        </row>
        <row r="1295">
          <cell r="C1295">
            <v>0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</row>
        <row r="1296">
          <cell r="B1296">
            <v>24</v>
          </cell>
          <cell r="C1296">
            <v>0</v>
          </cell>
          <cell r="D1296" t="str">
            <v>COSTO-COSTO</v>
          </cell>
          <cell r="E1296">
            <v>0</v>
          </cell>
          <cell r="F1296">
            <v>0</v>
          </cell>
          <cell r="G1296">
            <v>0</v>
          </cell>
          <cell r="H1296">
            <v>305.53983695645275</v>
          </cell>
          <cell r="I1296">
            <v>0</v>
          </cell>
        </row>
        <row r="1297">
          <cell r="C1297">
            <v>0</v>
          </cell>
          <cell r="D1297" t="str">
            <v>GASTO FINANCIERO</v>
          </cell>
          <cell r="E1297">
            <v>0</v>
          </cell>
          <cell r="F1297">
            <v>0</v>
          </cell>
          <cell r="G1297">
            <v>0.02</v>
          </cell>
          <cell r="H1297">
            <v>6.1107967391290554</v>
          </cell>
          <cell r="I1297">
            <v>0</v>
          </cell>
        </row>
        <row r="1298">
          <cell r="C1298">
            <v>0</v>
          </cell>
          <cell r="D1298" t="str">
            <v>SUB TOTAL</v>
          </cell>
          <cell r="E1298">
            <v>0</v>
          </cell>
          <cell r="F1298">
            <v>0</v>
          </cell>
          <cell r="G1298">
            <v>0</v>
          </cell>
          <cell r="H1298">
            <v>311.6506336955818</v>
          </cell>
          <cell r="I1298">
            <v>0</v>
          </cell>
        </row>
        <row r="1299">
          <cell r="C1299">
            <v>0</v>
          </cell>
          <cell r="D1299" t="str">
            <v>GASTOS GENERALES</v>
          </cell>
          <cell r="E1299">
            <v>0</v>
          </cell>
          <cell r="F1299">
            <v>0</v>
          </cell>
          <cell r="G1299">
            <v>0.35116211482007981</v>
          </cell>
          <cell r="H1299">
            <v>109.43989561355853</v>
          </cell>
          <cell r="I1299">
            <v>0</v>
          </cell>
        </row>
        <row r="1300">
          <cell r="C1300">
            <v>0</v>
          </cell>
          <cell r="D1300" t="str">
            <v>BENEFICIO</v>
          </cell>
          <cell r="E1300">
            <v>0</v>
          </cell>
          <cell r="F1300">
            <v>0</v>
          </cell>
          <cell r="G1300">
            <v>0.1</v>
          </cell>
          <cell r="H1300">
            <v>31.165063369558183</v>
          </cell>
          <cell r="I1300">
            <v>0</v>
          </cell>
        </row>
        <row r="1301">
          <cell r="C1301">
            <v>0</v>
          </cell>
          <cell r="D1301" t="str">
            <v>COSTO TOTAL UNITARIO</v>
          </cell>
          <cell r="E1301">
            <v>0</v>
          </cell>
          <cell r="F1301">
            <v>0</v>
          </cell>
          <cell r="G1301">
            <v>0</v>
          </cell>
          <cell r="H1301">
            <v>452.25559267869852</v>
          </cell>
          <cell r="I1301">
            <v>0</v>
          </cell>
        </row>
        <row r="1302">
          <cell r="C1302">
            <v>0</v>
          </cell>
          <cell r="D1302" t="str">
            <v>IMPUETOS</v>
          </cell>
          <cell r="E1302">
            <v>0</v>
          </cell>
          <cell r="F1302" t="str">
            <v>IIBB</v>
          </cell>
          <cell r="G1302">
            <v>2.4E-2</v>
          </cell>
          <cell r="H1302">
            <v>10.854134224288766</v>
          </cell>
          <cell r="I1302">
            <v>0</v>
          </cell>
        </row>
        <row r="1303">
          <cell r="C1303">
            <v>0</v>
          </cell>
          <cell r="D1303">
            <v>0</v>
          </cell>
          <cell r="E1303">
            <v>0</v>
          </cell>
          <cell r="F1303" t="str">
            <v>IVA</v>
          </cell>
          <cell r="G1303">
            <v>0.21</v>
          </cell>
          <cell r="H1303">
            <v>94.973674462526688</v>
          </cell>
          <cell r="I1303">
            <v>0</v>
          </cell>
        </row>
        <row r="1304"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</row>
        <row r="1305">
          <cell r="C1305">
            <v>0</v>
          </cell>
          <cell r="D1305" t="str">
            <v>PRECIO TOTAL UNITARIO</v>
          </cell>
          <cell r="E1305">
            <v>0</v>
          </cell>
          <cell r="F1305">
            <v>0</v>
          </cell>
          <cell r="G1305">
            <v>0</v>
          </cell>
          <cell r="H1305">
            <v>558.08340136551396</v>
          </cell>
          <cell r="I1305">
            <v>0</v>
          </cell>
        </row>
        <row r="1306"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  <cell r="H1306">
            <v>0</v>
          </cell>
          <cell r="I1306">
            <v>0</v>
          </cell>
        </row>
        <row r="1307"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0</v>
          </cell>
        </row>
        <row r="1308">
          <cell r="C1308">
            <v>0</v>
          </cell>
          <cell r="D1308" t="str">
            <v>Rubro:</v>
          </cell>
          <cell r="E1308">
            <v>8</v>
          </cell>
          <cell r="F1308" t="str">
            <v>Estructura metálica</v>
          </cell>
          <cell r="G1308" t="e">
            <v>#NAME?</v>
          </cell>
          <cell r="H1308" t="e">
            <v>#NAME?</v>
          </cell>
          <cell r="I1308">
            <v>0</v>
          </cell>
        </row>
        <row r="1309">
          <cell r="C1309">
            <v>0</v>
          </cell>
          <cell r="D1309" t="str">
            <v>Sub Rubro:</v>
          </cell>
          <cell r="E1309">
            <v>8.1</v>
          </cell>
          <cell r="F1309" t="str">
            <v>Techo metálico</v>
          </cell>
          <cell r="G1309" t="e">
            <v>#NAME?</v>
          </cell>
          <cell r="H1309" t="e">
            <v>#NAME?</v>
          </cell>
          <cell r="I1309">
            <v>0</v>
          </cell>
        </row>
        <row r="1310">
          <cell r="C1310">
            <v>0</v>
          </cell>
          <cell r="D1310" t="str">
            <v>Ítem:</v>
          </cell>
          <cell r="E1310">
            <v>8.1</v>
          </cell>
          <cell r="F1310" t="str">
            <v>Techo metálico</v>
          </cell>
          <cell r="G1310" t="e">
            <v>#NAME?</v>
          </cell>
          <cell r="H1310" t="e">
            <v>#NAME?</v>
          </cell>
          <cell r="I1310">
            <v>0</v>
          </cell>
        </row>
        <row r="1311">
          <cell r="C1311">
            <v>0</v>
          </cell>
          <cell r="D1311" t="str">
            <v>Unida:</v>
          </cell>
          <cell r="E1311" t="str">
            <v>m²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</row>
        <row r="1312">
          <cell r="C1312">
            <v>0</v>
          </cell>
          <cell r="D1312" t="str">
            <v>DENOMINACION</v>
          </cell>
          <cell r="E1312" t="str">
            <v>UNIDAD</v>
          </cell>
          <cell r="F1312" t="str">
            <v>COSTO UNITARIO</v>
          </cell>
          <cell r="G1312" t="str">
            <v>RENDIMIENTO POR UNIDAD</v>
          </cell>
          <cell r="H1312" t="str">
            <v>COSTO PARCIAL</v>
          </cell>
          <cell r="I1312">
            <v>0</v>
          </cell>
        </row>
        <row r="1313">
          <cell r="C1313">
            <v>0</v>
          </cell>
          <cell r="D1313" t="str">
            <v>A- MATERIALES:</v>
          </cell>
          <cell r="E1313">
            <v>0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</row>
        <row r="1314">
          <cell r="C1314">
            <v>0</v>
          </cell>
          <cell r="D1314" t="str">
            <v xml:space="preserve">Perfil C - </v>
          </cell>
          <cell r="E1314" t="str">
            <v>kg</v>
          </cell>
          <cell r="F1314">
            <v>14.014737556406983</v>
          </cell>
          <cell r="G1314">
            <v>10</v>
          </cell>
          <cell r="H1314">
            <v>140.14737556406982</v>
          </cell>
          <cell r="I1314">
            <v>0</v>
          </cell>
        </row>
        <row r="1315">
          <cell r="C1315">
            <v>0</v>
          </cell>
          <cell r="D1315" t="str">
            <v>Chapa Acanalada Nº 27</v>
          </cell>
          <cell r="E1315" t="str">
            <v>m²</v>
          </cell>
          <cell r="F1315">
            <v>63.249999999999993</v>
          </cell>
          <cell r="G1315">
            <v>1.1000000000000001</v>
          </cell>
          <cell r="H1315">
            <v>69.575000000000003</v>
          </cell>
          <cell r="I1315">
            <v>0</v>
          </cell>
        </row>
        <row r="1316">
          <cell r="C1316">
            <v>0</v>
          </cell>
          <cell r="D1316" t="str">
            <v>Lana de vidrio con aluminio</v>
          </cell>
          <cell r="E1316" t="str">
            <v>m²</v>
          </cell>
          <cell r="F1316">
            <v>43.560606060606062</v>
          </cell>
          <cell r="G1316">
            <v>1.1000000000000001</v>
          </cell>
          <cell r="H1316">
            <v>47.916666666666671</v>
          </cell>
          <cell r="I1316">
            <v>0</v>
          </cell>
        </row>
        <row r="1317">
          <cell r="C1317">
            <v>0</v>
          </cell>
          <cell r="D1317" t="str">
            <v xml:space="preserve">Accesorios </v>
          </cell>
          <cell r="E1317" t="str">
            <v>gl</v>
          </cell>
          <cell r="F1317">
            <v>10</v>
          </cell>
          <cell r="G1317">
            <v>1.1000000000000001</v>
          </cell>
          <cell r="H1317">
            <v>11</v>
          </cell>
          <cell r="I1317">
            <v>0</v>
          </cell>
        </row>
        <row r="1318">
          <cell r="C1318">
            <v>0</v>
          </cell>
          <cell r="D1318" t="str">
            <v>Red Sosten 2" x 200</v>
          </cell>
          <cell r="E1318" t="str">
            <v>m²</v>
          </cell>
          <cell r="F1318">
            <v>1.5</v>
          </cell>
          <cell r="G1318">
            <v>1.1000000000000001</v>
          </cell>
          <cell r="H1318">
            <v>1.6500000000000001</v>
          </cell>
          <cell r="I1318">
            <v>0</v>
          </cell>
        </row>
        <row r="1319">
          <cell r="C1319">
            <v>0</v>
          </cell>
          <cell r="D1319">
            <v>0</v>
          </cell>
          <cell r="E1319" t="str">
            <v>-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</row>
        <row r="1320">
          <cell r="C1320">
            <v>0</v>
          </cell>
          <cell r="D1320">
            <v>0</v>
          </cell>
          <cell r="E1320" t="str">
            <v>-</v>
          </cell>
          <cell r="F1320">
            <v>0</v>
          </cell>
          <cell r="G1320">
            <v>0</v>
          </cell>
          <cell r="H1320">
            <v>0</v>
          </cell>
          <cell r="I1320">
            <v>0</v>
          </cell>
        </row>
        <row r="1321">
          <cell r="C1321">
            <v>0</v>
          </cell>
          <cell r="D1321">
            <v>0</v>
          </cell>
          <cell r="E1321" t="str">
            <v>-</v>
          </cell>
          <cell r="F1321">
            <v>0</v>
          </cell>
          <cell r="G1321">
            <v>0</v>
          </cell>
          <cell r="H1321">
            <v>0</v>
          </cell>
          <cell r="I1321">
            <v>0</v>
          </cell>
        </row>
        <row r="1322">
          <cell r="C1322">
            <v>0</v>
          </cell>
          <cell r="D1322">
            <v>0</v>
          </cell>
          <cell r="E1322" t="str">
            <v>-</v>
          </cell>
          <cell r="F1322">
            <v>0</v>
          </cell>
          <cell r="G1322">
            <v>0</v>
          </cell>
          <cell r="H1322">
            <v>0</v>
          </cell>
          <cell r="I1322">
            <v>0</v>
          </cell>
        </row>
        <row r="1323">
          <cell r="C1323">
            <v>0</v>
          </cell>
          <cell r="D1323">
            <v>0</v>
          </cell>
          <cell r="E1323" t="str">
            <v>-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</row>
        <row r="1324">
          <cell r="C1324">
            <v>0</v>
          </cell>
          <cell r="D1324">
            <v>0</v>
          </cell>
          <cell r="E1324" t="str">
            <v>-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</row>
        <row r="1325">
          <cell r="C1325">
            <v>0</v>
          </cell>
          <cell r="D1325">
            <v>0</v>
          </cell>
          <cell r="E1325" t="str">
            <v>-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</row>
        <row r="1326">
          <cell r="C1326">
            <v>0</v>
          </cell>
          <cell r="D1326">
            <v>0</v>
          </cell>
          <cell r="E1326" t="str">
            <v>-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</row>
        <row r="1327">
          <cell r="C1327">
            <v>0</v>
          </cell>
          <cell r="D1327">
            <v>0</v>
          </cell>
          <cell r="E1327" t="str">
            <v>-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</row>
        <row r="1328">
          <cell r="C1328">
            <v>0</v>
          </cell>
          <cell r="D1328">
            <v>0</v>
          </cell>
          <cell r="E1328" t="str">
            <v>-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</row>
        <row r="1329">
          <cell r="C1329">
            <v>0</v>
          </cell>
          <cell r="D1329">
            <v>0</v>
          </cell>
          <cell r="E1329" t="str">
            <v>-</v>
          </cell>
          <cell r="F1329">
            <v>0</v>
          </cell>
          <cell r="G1329">
            <v>0</v>
          </cell>
          <cell r="H1329">
            <v>0</v>
          </cell>
          <cell r="I1329">
            <v>0</v>
          </cell>
        </row>
        <row r="1330">
          <cell r="C1330">
            <v>0</v>
          </cell>
          <cell r="D1330">
            <v>0</v>
          </cell>
          <cell r="E1330" t="str">
            <v>-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</row>
        <row r="1331">
          <cell r="C1331">
            <v>0</v>
          </cell>
          <cell r="D1331">
            <v>0</v>
          </cell>
          <cell r="E1331" t="str">
            <v>-</v>
          </cell>
          <cell r="F1331">
            <v>0</v>
          </cell>
          <cell r="G1331">
            <v>0</v>
          </cell>
          <cell r="H1331">
            <v>0</v>
          </cell>
          <cell r="I1331">
            <v>0</v>
          </cell>
        </row>
        <row r="1332">
          <cell r="C1332">
            <v>0</v>
          </cell>
          <cell r="D1332">
            <v>0</v>
          </cell>
          <cell r="E1332" t="str">
            <v>-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</row>
        <row r="1333">
          <cell r="C1333">
            <v>0</v>
          </cell>
          <cell r="D1333">
            <v>0</v>
          </cell>
          <cell r="E1333" t="str">
            <v>-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</row>
        <row r="1334">
          <cell r="C1334">
            <v>0</v>
          </cell>
          <cell r="D1334" t="str">
            <v>SUB TOTAL MATERIALES</v>
          </cell>
          <cell r="E1334">
            <v>0</v>
          </cell>
          <cell r="F1334">
            <v>0</v>
          </cell>
          <cell r="G1334">
            <v>0</v>
          </cell>
          <cell r="H1334">
            <v>270.28904223073647</v>
          </cell>
          <cell r="I1334">
            <v>0</v>
          </cell>
        </row>
        <row r="1335">
          <cell r="C1335">
            <v>0</v>
          </cell>
          <cell r="D1335" t="str">
            <v>B- MANO DE OBRA:</v>
          </cell>
          <cell r="E1335">
            <v>0</v>
          </cell>
          <cell r="F1335">
            <v>0</v>
          </cell>
          <cell r="G1335">
            <v>0</v>
          </cell>
          <cell r="H1335">
            <v>0</v>
          </cell>
          <cell r="I1335">
            <v>0</v>
          </cell>
        </row>
        <row r="1336">
          <cell r="C1336">
            <v>0</v>
          </cell>
          <cell r="D1336" t="str">
            <v>Oficial</v>
          </cell>
          <cell r="E1336" t="str">
            <v>hs</v>
          </cell>
          <cell r="F1336">
            <v>56.619016000000002</v>
          </cell>
          <cell r="G1336">
            <v>3</v>
          </cell>
          <cell r="H1336">
            <v>169.85704800000002</v>
          </cell>
          <cell r="I1336">
            <v>0</v>
          </cell>
        </row>
        <row r="1337">
          <cell r="C1337">
            <v>0</v>
          </cell>
          <cell r="D1337" t="str">
            <v>Ayudante</v>
          </cell>
          <cell r="E1337" t="str">
            <v>hs</v>
          </cell>
          <cell r="F1337">
            <v>48.396512000000008</v>
          </cell>
          <cell r="G1337">
            <v>0.76747167233870051</v>
          </cell>
          <cell r="H1337">
            <v>37.142951999999994</v>
          </cell>
          <cell r="I1337">
            <v>0</v>
          </cell>
        </row>
        <row r="1338">
          <cell r="C1338">
            <v>0</v>
          </cell>
          <cell r="D1338" t="str">
            <v>-</v>
          </cell>
          <cell r="E1338" t="str">
            <v>-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</row>
        <row r="1339">
          <cell r="C1339">
            <v>0</v>
          </cell>
          <cell r="D1339" t="str">
            <v>-</v>
          </cell>
          <cell r="E1339" t="str">
            <v>-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</row>
        <row r="1340">
          <cell r="C1340">
            <v>0</v>
          </cell>
          <cell r="D1340" t="str">
            <v>-</v>
          </cell>
          <cell r="E1340" t="str">
            <v>-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</row>
        <row r="1341">
          <cell r="C1341">
            <v>0</v>
          </cell>
          <cell r="D1341" t="str">
            <v>SUB TOTAL MANO DE OBRA</v>
          </cell>
          <cell r="E1341">
            <v>0</v>
          </cell>
          <cell r="F1341">
            <v>0</v>
          </cell>
          <cell r="G1341">
            <v>0</v>
          </cell>
          <cell r="H1341">
            <v>207</v>
          </cell>
          <cell r="I1341">
            <v>0</v>
          </cell>
        </row>
        <row r="1342">
          <cell r="C1342">
            <v>0</v>
          </cell>
          <cell r="D1342" t="str">
            <v>C- EQUIPOS:</v>
          </cell>
          <cell r="E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</row>
        <row r="1343">
          <cell r="C1343">
            <v>0</v>
          </cell>
          <cell r="D1343" t="str">
            <v>Herramientas de Mano</v>
          </cell>
          <cell r="E1343" t="str">
            <v>gl</v>
          </cell>
          <cell r="F1343">
            <v>14.318671266922093</v>
          </cell>
          <cell r="G1343">
            <v>1</v>
          </cell>
          <cell r="H1343">
            <v>14.318671266922093</v>
          </cell>
          <cell r="I1343">
            <v>0</v>
          </cell>
        </row>
        <row r="1344">
          <cell r="C1344">
            <v>0</v>
          </cell>
          <cell r="D1344" t="str">
            <v>-</v>
          </cell>
          <cell r="E1344" t="str">
            <v>-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</row>
        <row r="1345">
          <cell r="C1345">
            <v>0</v>
          </cell>
          <cell r="D1345" t="str">
            <v>-</v>
          </cell>
          <cell r="E1345" t="str">
            <v>-</v>
          </cell>
          <cell r="F1345">
            <v>0</v>
          </cell>
          <cell r="G1345">
            <v>0</v>
          </cell>
          <cell r="H1345">
            <v>0</v>
          </cell>
          <cell r="I1345">
            <v>0</v>
          </cell>
        </row>
        <row r="1346">
          <cell r="C1346">
            <v>0</v>
          </cell>
          <cell r="D1346" t="str">
            <v>-</v>
          </cell>
          <cell r="E1346" t="str">
            <v>-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</row>
        <row r="1347">
          <cell r="C1347">
            <v>0</v>
          </cell>
          <cell r="D1347" t="str">
            <v>-</v>
          </cell>
          <cell r="E1347" t="str">
            <v>-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</row>
        <row r="1348">
          <cell r="C1348">
            <v>0</v>
          </cell>
          <cell r="D1348" t="str">
            <v>SUB TOTAL EQUIPOS</v>
          </cell>
          <cell r="E1348">
            <v>0</v>
          </cell>
          <cell r="F1348">
            <v>0</v>
          </cell>
          <cell r="G1348">
            <v>0</v>
          </cell>
          <cell r="H1348">
            <v>14.318671266922093</v>
          </cell>
          <cell r="I1348">
            <v>0</v>
          </cell>
        </row>
        <row r="1349"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</row>
        <row r="1350">
          <cell r="B1350">
            <v>25</v>
          </cell>
          <cell r="C1350">
            <v>0</v>
          </cell>
          <cell r="D1350" t="str">
            <v>COSTO-COSTO</v>
          </cell>
          <cell r="E1350">
            <v>0</v>
          </cell>
          <cell r="F1350">
            <v>0</v>
          </cell>
          <cell r="G1350">
            <v>0</v>
          </cell>
          <cell r="H1350">
            <v>491.60771349765855</v>
          </cell>
          <cell r="I1350">
            <v>0</v>
          </cell>
        </row>
        <row r="1351">
          <cell r="C1351">
            <v>0</v>
          </cell>
          <cell r="D1351" t="str">
            <v>GASTO FINANCIERO</v>
          </cell>
          <cell r="E1351">
            <v>0</v>
          </cell>
          <cell r="F1351">
            <v>0</v>
          </cell>
          <cell r="G1351">
            <v>0.02</v>
          </cell>
          <cell r="H1351">
            <v>9.8321542699531719</v>
          </cell>
          <cell r="I1351">
            <v>0</v>
          </cell>
        </row>
        <row r="1352">
          <cell r="C1352">
            <v>0</v>
          </cell>
          <cell r="D1352" t="str">
            <v>SUB TOTAL</v>
          </cell>
          <cell r="E1352">
            <v>0</v>
          </cell>
          <cell r="F1352">
            <v>0</v>
          </cell>
          <cell r="G1352">
            <v>0</v>
          </cell>
          <cell r="H1352">
            <v>501.4398677676117</v>
          </cell>
          <cell r="I1352">
            <v>0</v>
          </cell>
        </row>
        <row r="1353">
          <cell r="C1353">
            <v>0</v>
          </cell>
          <cell r="D1353" t="str">
            <v>GASTOS GENERALES</v>
          </cell>
          <cell r="E1353">
            <v>0</v>
          </cell>
          <cell r="F1353">
            <v>0</v>
          </cell>
          <cell r="G1353">
            <v>0.35116211482007981</v>
          </cell>
          <cell r="H1353">
            <v>176.08668442037569</v>
          </cell>
          <cell r="I1353">
            <v>0</v>
          </cell>
        </row>
        <row r="1354">
          <cell r="C1354">
            <v>0</v>
          </cell>
          <cell r="D1354" t="str">
            <v>BENEFICIO</v>
          </cell>
          <cell r="E1354">
            <v>0</v>
          </cell>
          <cell r="F1354">
            <v>0</v>
          </cell>
          <cell r="G1354">
            <v>0.1</v>
          </cell>
          <cell r="H1354">
            <v>50.143986776761174</v>
          </cell>
          <cell r="I1354">
            <v>0</v>
          </cell>
        </row>
        <row r="1355">
          <cell r="C1355">
            <v>0</v>
          </cell>
          <cell r="D1355" t="str">
            <v>COSTO TOTAL UNITARIO</v>
          </cell>
          <cell r="E1355">
            <v>0</v>
          </cell>
          <cell r="F1355">
            <v>0</v>
          </cell>
          <cell r="G1355">
            <v>0</v>
          </cell>
          <cell r="H1355">
            <v>727.67053896474852</v>
          </cell>
          <cell r="I1355">
            <v>0</v>
          </cell>
        </row>
        <row r="1356">
          <cell r="C1356">
            <v>0</v>
          </cell>
          <cell r="D1356" t="str">
            <v>IMPUETOS</v>
          </cell>
          <cell r="E1356">
            <v>0</v>
          </cell>
          <cell r="F1356" t="str">
            <v>IIBB</v>
          </cell>
          <cell r="G1356">
            <v>2.4E-2</v>
          </cell>
          <cell r="H1356">
            <v>17.464092935153964</v>
          </cell>
          <cell r="I1356">
            <v>0</v>
          </cell>
        </row>
        <row r="1357">
          <cell r="C1357">
            <v>0</v>
          </cell>
          <cell r="D1357">
            <v>0</v>
          </cell>
          <cell r="E1357">
            <v>0</v>
          </cell>
          <cell r="F1357" t="str">
            <v>IVA</v>
          </cell>
          <cell r="G1357">
            <v>0.21</v>
          </cell>
          <cell r="H1357">
            <v>152.81081318259717</v>
          </cell>
          <cell r="I1357">
            <v>0</v>
          </cell>
        </row>
        <row r="1358"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  <cell r="H1358">
            <v>0</v>
          </cell>
          <cell r="I1358">
            <v>0</v>
          </cell>
        </row>
        <row r="1359">
          <cell r="C1359">
            <v>0</v>
          </cell>
          <cell r="D1359" t="str">
            <v>PRECIO TOTAL UNITARIO</v>
          </cell>
          <cell r="E1359">
            <v>0</v>
          </cell>
          <cell r="F1359">
            <v>0</v>
          </cell>
          <cell r="G1359">
            <v>0</v>
          </cell>
          <cell r="H1359">
            <v>897.94544508249965</v>
          </cell>
          <cell r="I1359">
            <v>0</v>
          </cell>
        </row>
        <row r="1360"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</row>
        <row r="1361"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</row>
        <row r="1362">
          <cell r="C1362">
            <v>0</v>
          </cell>
          <cell r="D1362" t="str">
            <v>Rubro:</v>
          </cell>
          <cell r="E1362">
            <v>8</v>
          </cell>
          <cell r="F1362" t="str">
            <v>Estructura metálica</v>
          </cell>
          <cell r="G1362" t="e">
            <v>#NAME?</v>
          </cell>
          <cell r="H1362" t="e">
            <v>#NAME?</v>
          </cell>
          <cell r="I1362">
            <v>0</v>
          </cell>
        </row>
        <row r="1363">
          <cell r="C1363">
            <v>0</v>
          </cell>
          <cell r="D1363" t="str">
            <v>Sub Rubro:</v>
          </cell>
          <cell r="E1363">
            <v>8.1999999999999993</v>
          </cell>
          <cell r="F1363" t="str">
            <v>Alero Exterior</v>
          </cell>
          <cell r="G1363" t="e">
            <v>#NAME?</v>
          </cell>
          <cell r="H1363" t="e">
            <v>#NAME?</v>
          </cell>
          <cell r="I1363">
            <v>0</v>
          </cell>
        </row>
        <row r="1364">
          <cell r="C1364">
            <v>0</v>
          </cell>
          <cell r="D1364" t="str">
            <v>Ítem:</v>
          </cell>
          <cell r="E1364">
            <v>8.1999999999999993</v>
          </cell>
          <cell r="F1364" t="str">
            <v>Alero Exterior</v>
          </cell>
          <cell r="G1364" t="e">
            <v>#NAME?</v>
          </cell>
          <cell r="H1364" t="e">
            <v>#NAME?</v>
          </cell>
          <cell r="I1364">
            <v>0</v>
          </cell>
        </row>
        <row r="1365">
          <cell r="C1365">
            <v>0</v>
          </cell>
          <cell r="D1365" t="str">
            <v>Unida:</v>
          </cell>
          <cell r="E1365" t="str">
            <v>gl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</row>
        <row r="1366">
          <cell r="C1366">
            <v>0</v>
          </cell>
          <cell r="D1366" t="str">
            <v>DENOMINACION</v>
          </cell>
          <cell r="E1366" t="str">
            <v>UNIDAD</v>
          </cell>
          <cell r="F1366" t="str">
            <v>COSTO UNITARIO</v>
          </cell>
          <cell r="G1366" t="str">
            <v>RENDIMIENTO POR UNIDAD</v>
          </cell>
          <cell r="H1366" t="str">
            <v>COSTO PARCIAL</v>
          </cell>
          <cell r="I1366">
            <v>0</v>
          </cell>
        </row>
        <row r="1367">
          <cell r="C1367">
            <v>0</v>
          </cell>
          <cell r="D1367" t="str">
            <v>A- MATERIALES:</v>
          </cell>
          <cell r="E1367">
            <v>0</v>
          </cell>
          <cell r="F1367">
            <v>0</v>
          </cell>
          <cell r="G1367">
            <v>0</v>
          </cell>
          <cell r="H1367">
            <v>0</v>
          </cell>
          <cell r="I1367">
            <v>0</v>
          </cell>
        </row>
        <row r="1368">
          <cell r="C1368">
            <v>0</v>
          </cell>
          <cell r="D1368" t="str">
            <v>Perfileria</v>
          </cell>
          <cell r="E1368" t="str">
            <v>Kg</v>
          </cell>
          <cell r="F1368">
            <v>15</v>
          </cell>
          <cell r="G1368">
            <v>50</v>
          </cell>
          <cell r="H1368">
            <v>750</v>
          </cell>
          <cell r="I1368">
            <v>0</v>
          </cell>
        </row>
        <row r="1369">
          <cell r="C1369">
            <v>0</v>
          </cell>
          <cell r="D1369" t="str">
            <v>Revestimiento</v>
          </cell>
          <cell r="E1369" t="str">
            <v>m²</v>
          </cell>
          <cell r="F1369">
            <v>150</v>
          </cell>
          <cell r="G1369">
            <v>6.6</v>
          </cell>
          <cell r="H1369">
            <v>990</v>
          </cell>
          <cell r="I1369">
            <v>0</v>
          </cell>
        </row>
        <row r="1370">
          <cell r="C1370">
            <v>0</v>
          </cell>
          <cell r="D1370" t="str">
            <v>Accesorios</v>
          </cell>
          <cell r="E1370" t="str">
            <v>gl</v>
          </cell>
          <cell r="F1370">
            <v>1000</v>
          </cell>
          <cell r="G1370">
            <v>1</v>
          </cell>
          <cell r="H1370">
            <v>1000</v>
          </cell>
          <cell r="I1370">
            <v>0</v>
          </cell>
        </row>
        <row r="1371">
          <cell r="C1371">
            <v>0</v>
          </cell>
          <cell r="D1371">
            <v>0</v>
          </cell>
          <cell r="E1371" t="str">
            <v>-</v>
          </cell>
          <cell r="F1371">
            <v>0</v>
          </cell>
          <cell r="G1371">
            <v>0</v>
          </cell>
          <cell r="H1371">
            <v>0</v>
          </cell>
          <cell r="I1371">
            <v>0</v>
          </cell>
        </row>
        <row r="1372">
          <cell r="C1372">
            <v>0</v>
          </cell>
          <cell r="D1372">
            <v>0</v>
          </cell>
          <cell r="E1372" t="str">
            <v>-</v>
          </cell>
          <cell r="F1372">
            <v>0</v>
          </cell>
          <cell r="G1372">
            <v>0</v>
          </cell>
          <cell r="H1372">
            <v>0</v>
          </cell>
          <cell r="I1372">
            <v>0</v>
          </cell>
        </row>
        <row r="1373">
          <cell r="C1373">
            <v>0</v>
          </cell>
          <cell r="D1373">
            <v>0</v>
          </cell>
          <cell r="E1373" t="str">
            <v>-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</row>
        <row r="1374">
          <cell r="C1374">
            <v>0</v>
          </cell>
          <cell r="D1374">
            <v>0</v>
          </cell>
          <cell r="E1374" t="str">
            <v>-</v>
          </cell>
          <cell r="F1374">
            <v>0</v>
          </cell>
          <cell r="G1374">
            <v>0</v>
          </cell>
          <cell r="H1374">
            <v>0</v>
          </cell>
          <cell r="I1374">
            <v>0</v>
          </cell>
        </row>
        <row r="1375">
          <cell r="C1375">
            <v>0</v>
          </cell>
          <cell r="D1375">
            <v>0</v>
          </cell>
          <cell r="E1375" t="str">
            <v>-</v>
          </cell>
          <cell r="F1375">
            <v>0</v>
          </cell>
          <cell r="G1375">
            <v>0</v>
          </cell>
          <cell r="H1375">
            <v>0</v>
          </cell>
          <cell r="I1375">
            <v>0</v>
          </cell>
        </row>
        <row r="1376">
          <cell r="C1376">
            <v>0</v>
          </cell>
          <cell r="D1376">
            <v>0</v>
          </cell>
          <cell r="E1376" t="str">
            <v>-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</row>
        <row r="1377">
          <cell r="C1377">
            <v>0</v>
          </cell>
          <cell r="D1377">
            <v>0</v>
          </cell>
          <cell r="E1377" t="str">
            <v>-</v>
          </cell>
          <cell r="F1377">
            <v>0</v>
          </cell>
          <cell r="G1377">
            <v>0</v>
          </cell>
          <cell r="H1377">
            <v>0</v>
          </cell>
          <cell r="I1377">
            <v>0</v>
          </cell>
        </row>
        <row r="1378">
          <cell r="C1378">
            <v>0</v>
          </cell>
          <cell r="D1378">
            <v>0</v>
          </cell>
          <cell r="E1378" t="str">
            <v>-</v>
          </cell>
          <cell r="F1378">
            <v>0</v>
          </cell>
          <cell r="G1378">
            <v>0</v>
          </cell>
          <cell r="H1378">
            <v>0</v>
          </cell>
          <cell r="I1378">
            <v>0</v>
          </cell>
        </row>
        <row r="1379">
          <cell r="C1379">
            <v>0</v>
          </cell>
          <cell r="D1379">
            <v>0</v>
          </cell>
          <cell r="E1379" t="str">
            <v>-</v>
          </cell>
          <cell r="F1379">
            <v>0</v>
          </cell>
          <cell r="G1379">
            <v>0</v>
          </cell>
          <cell r="H1379">
            <v>0</v>
          </cell>
          <cell r="I1379">
            <v>0</v>
          </cell>
        </row>
        <row r="1380">
          <cell r="C1380">
            <v>0</v>
          </cell>
          <cell r="D1380">
            <v>0</v>
          </cell>
          <cell r="E1380" t="str">
            <v>-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</row>
        <row r="1381">
          <cell r="C1381">
            <v>0</v>
          </cell>
          <cell r="D1381">
            <v>0</v>
          </cell>
          <cell r="E1381" t="str">
            <v>-</v>
          </cell>
          <cell r="F1381">
            <v>0</v>
          </cell>
          <cell r="G1381">
            <v>0</v>
          </cell>
          <cell r="H1381">
            <v>0</v>
          </cell>
          <cell r="I1381">
            <v>0</v>
          </cell>
        </row>
        <row r="1382">
          <cell r="C1382">
            <v>0</v>
          </cell>
          <cell r="D1382">
            <v>0</v>
          </cell>
          <cell r="E1382" t="str">
            <v>-</v>
          </cell>
          <cell r="F1382">
            <v>0</v>
          </cell>
          <cell r="G1382">
            <v>0</v>
          </cell>
          <cell r="H1382">
            <v>0</v>
          </cell>
          <cell r="I1382">
            <v>0</v>
          </cell>
        </row>
        <row r="1383">
          <cell r="C1383">
            <v>0</v>
          </cell>
          <cell r="D1383">
            <v>0</v>
          </cell>
          <cell r="E1383" t="str">
            <v>-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</row>
        <row r="1384">
          <cell r="C1384">
            <v>0</v>
          </cell>
          <cell r="D1384">
            <v>0</v>
          </cell>
          <cell r="E1384" t="str">
            <v>-</v>
          </cell>
          <cell r="F1384">
            <v>0</v>
          </cell>
          <cell r="G1384">
            <v>0</v>
          </cell>
          <cell r="H1384">
            <v>0</v>
          </cell>
          <cell r="I1384">
            <v>0</v>
          </cell>
        </row>
        <row r="1385">
          <cell r="C1385">
            <v>0</v>
          </cell>
          <cell r="D1385">
            <v>0</v>
          </cell>
          <cell r="E1385" t="str">
            <v>-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</row>
        <row r="1386">
          <cell r="C1386">
            <v>0</v>
          </cell>
          <cell r="D1386">
            <v>0</v>
          </cell>
          <cell r="E1386" t="str">
            <v>-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</row>
        <row r="1387">
          <cell r="C1387">
            <v>0</v>
          </cell>
          <cell r="D1387">
            <v>0</v>
          </cell>
          <cell r="E1387" t="str">
            <v>-</v>
          </cell>
          <cell r="F1387">
            <v>0</v>
          </cell>
          <cell r="G1387">
            <v>0</v>
          </cell>
          <cell r="H1387">
            <v>0</v>
          </cell>
          <cell r="I1387">
            <v>0</v>
          </cell>
        </row>
        <row r="1388">
          <cell r="C1388">
            <v>0</v>
          </cell>
          <cell r="D1388" t="str">
            <v>SUB TOTAL MATERIALES</v>
          </cell>
          <cell r="E1388">
            <v>0</v>
          </cell>
          <cell r="F1388">
            <v>0</v>
          </cell>
          <cell r="G1388">
            <v>0</v>
          </cell>
          <cell r="H1388">
            <v>2740</v>
          </cell>
          <cell r="I1388">
            <v>0</v>
          </cell>
        </row>
        <row r="1389">
          <cell r="C1389">
            <v>0</v>
          </cell>
          <cell r="D1389" t="str">
            <v>B- MANO DE OBRA:</v>
          </cell>
          <cell r="E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</row>
        <row r="1390">
          <cell r="C1390">
            <v>0</v>
          </cell>
          <cell r="D1390" t="str">
            <v>Oficial</v>
          </cell>
          <cell r="E1390" t="str">
            <v>hs</v>
          </cell>
          <cell r="F1390">
            <v>56.619016000000002</v>
          </cell>
          <cell r="G1390">
            <v>9</v>
          </cell>
          <cell r="H1390">
            <v>509.571144</v>
          </cell>
          <cell r="I1390">
            <v>0</v>
          </cell>
        </row>
        <row r="1391">
          <cell r="C1391">
            <v>0</v>
          </cell>
          <cell r="D1391" t="str">
            <v>Ayudante</v>
          </cell>
          <cell r="E1391" t="str">
            <v>hs</v>
          </cell>
          <cell r="F1391">
            <v>48.396512000000008</v>
          </cell>
          <cell r="G1391">
            <v>1</v>
          </cell>
          <cell r="H1391">
            <v>48.396512000000008</v>
          </cell>
          <cell r="I1391">
            <v>0</v>
          </cell>
        </row>
        <row r="1392">
          <cell r="C1392">
            <v>0</v>
          </cell>
          <cell r="D1392" t="str">
            <v>-</v>
          </cell>
          <cell r="E1392" t="str">
            <v>-</v>
          </cell>
          <cell r="F1392">
            <v>0</v>
          </cell>
          <cell r="G1392">
            <v>0</v>
          </cell>
          <cell r="H1392">
            <v>0</v>
          </cell>
          <cell r="I1392">
            <v>0</v>
          </cell>
        </row>
        <row r="1393">
          <cell r="C1393">
            <v>0</v>
          </cell>
          <cell r="D1393" t="str">
            <v>-</v>
          </cell>
          <cell r="E1393" t="str">
            <v>-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</row>
        <row r="1394">
          <cell r="C1394">
            <v>0</v>
          </cell>
          <cell r="D1394" t="str">
            <v>-</v>
          </cell>
          <cell r="E1394" t="str">
            <v>-</v>
          </cell>
          <cell r="F1394">
            <v>0</v>
          </cell>
          <cell r="G1394">
            <v>0</v>
          </cell>
          <cell r="H1394">
            <v>0</v>
          </cell>
          <cell r="I1394">
            <v>0</v>
          </cell>
        </row>
        <row r="1395">
          <cell r="C1395">
            <v>0</v>
          </cell>
          <cell r="D1395" t="str">
            <v>SUB TOTAL MANO DE OBRA</v>
          </cell>
          <cell r="E1395">
            <v>0</v>
          </cell>
          <cell r="F1395">
            <v>0</v>
          </cell>
          <cell r="G1395">
            <v>0</v>
          </cell>
          <cell r="H1395">
            <v>557.96765600000003</v>
          </cell>
          <cell r="I1395">
            <v>0</v>
          </cell>
        </row>
        <row r="1396">
          <cell r="C1396">
            <v>0</v>
          </cell>
          <cell r="D1396" t="str">
            <v>C- EQUIPOS:</v>
          </cell>
          <cell r="E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</row>
        <row r="1397">
          <cell r="C1397">
            <v>0</v>
          </cell>
          <cell r="D1397" t="str">
            <v>Herramientas de Mano</v>
          </cell>
          <cell r="E1397" t="str">
            <v>gl</v>
          </cell>
          <cell r="F1397">
            <v>98.93902967999999</v>
          </cell>
          <cell r="G1397">
            <v>1</v>
          </cell>
          <cell r="H1397">
            <v>98.93902967999999</v>
          </cell>
          <cell r="I1397">
            <v>0</v>
          </cell>
        </row>
        <row r="1398">
          <cell r="C1398">
            <v>0</v>
          </cell>
          <cell r="D1398" t="str">
            <v>-</v>
          </cell>
          <cell r="E1398" t="str">
            <v>-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</row>
        <row r="1399">
          <cell r="C1399">
            <v>0</v>
          </cell>
          <cell r="D1399" t="str">
            <v>-</v>
          </cell>
          <cell r="E1399" t="str">
            <v>-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</row>
        <row r="1400">
          <cell r="C1400">
            <v>0</v>
          </cell>
          <cell r="D1400" t="str">
            <v>-</v>
          </cell>
          <cell r="E1400" t="str">
            <v>-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</row>
        <row r="1401">
          <cell r="C1401">
            <v>0</v>
          </cell>
          <cell r="D1401" t="str">
            <v>-</v>
          </cell>
          <cell r="E1401" t="str">
            <v>-</v>
          </cell>
          <cell r="F1401">
            <v>0</v>
          </cell>
          <cell r="G1401">
            <v>0</v>
          </cell>
          <cell r="H1401">
            <v>0</v>
          </cell>
          <cell r="I1401">
            <v>0</v>
          </cell>
        </row>
        <row r="1402">
          <cell r="C1402">
            <v>0</v>
          </cell>
          <cell r="D1402" t="str">
            <v>SUB TOTAL EQUIPOS</v>
          </cell>
          <cell r="E1402">
            <v>0</v>
          </cell>
          <cell r="F1402">
            <v>0</v>
          </cell>
          <cell r="G1402">
            <v>0</v>
          </cell>
          <cell r="H1402">
            <v>98.93902967999999</v>
          </cell>
          <cell r="I1402">
            <v>0</v>
          </cell>
        </row>
        <row r="1403">
          <cell r="C1403">
            <v>0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  <cell r="H1403">
            <v>0</v>
          </cell>
          <cell r="I1403">
            <v>0</v>
          </cell>
        </row>
        <row r="1404">
          <cell r="B1404">
            <v>26</v>
          </cell>
          <cell r="C1404">
            <v>0</v>
          </cell>
          <cell r="D1404" t="str">
            <v>COSTO-COSTO</v>
          </cell>
          <cell r="E1404">
            <v>0</v>
          </cell>
          <cell r="F1404">
            <v>0</v>
          </cell>
          <cell r="G1404">
            <v>0</v>
          </cell>
          <cell r="H1404">
            <v>3396.90668568</v>
          </cell>
          <cell r="I1404">
            <v>0</v>
          </cell>
        </row>
        <row r="1405">
          <cell r="C1405">
            <v>0</v>
          </cell>
          <cell r="D1405" t="str">
            <v>GASTO FINANCIERO</v>
          </cell>
          <cell r="E1405">
            <v>0</v>
          </cell>
          <cell r="F1405">
            <v>0</v>
          </cell>
          <cell r="G1405">
            <v>0.02</v>
          </cell>
          <cell r="H1405">
            <v>67.938133713599996</v>
          </cell>
          <cell r="I1405">
            <v>0</v>
          </cell>
        </row>
        <row r="1406">
          <cell r="C1406">
            <v>0</v>
          </cell>
          <cell r="D1406" t="str">
            <v>SUB TOTAL</v>
          </cell>
          <cell r="E1406">
            <v>0</v>
          </cell>
          <cell r="F1406">
            <v>0</v>
          </cell>
          <cell r="G1406">
            <v>0</v>
          </cell>
          <cell r="H1406">
            <v>3464.8448193936001</v>
          </cell>
          <cell r="I1406">
            <v>0</v>
          </cell>
        </row>
        <row r="1407">
          <cell r="C1407">
            <v>0</v>
          </cell>
          <cell r="D1407" t="str">
            <v>GASTOS GENERALES</v>
          </cell>
          <cell r="E1407">
            <v>0</v>
          </cell>
          <cell r="F1407">
            <v>0</v>
          </cell>
          <cell r="G1407">
            <v>0.35116211482007981</v>
          </cell>
          <cell r="H1407">
            <v>1216.722234301654</v>
          </cell>
          <cell r="I1407">
            <v>0</v>
          </cell>
        </row>
        <row r="1408">
          <cell r="C1408">
            <v>0</v>
          </cell>
          <cell r="D1408" t="str">
            <v>BENEFICIO</v>
          </cell>
          <cell r="E1408">
            <v>0</v>
          </cell>
          <cell r="F1408">
            <v>0</v>
          </cell>
          <cell r="G1408">
            <v>0.1</v>
          </cell>
          <cell r="H1408">
            <v>346.48448193936002</v>
          </cell>
          <cell r="I1408">
            <v>0</v>
          </cell>
        </row>
        <row r="1409">
          <cell r="C1409">
            <v>0</v>
          </cell>
          <cell r="D1409" t="str">
            <v>COSTO TOTAL UNITARIO</v>
          </cell>
          <cell r="E1409">
            <v>0</v>
          </cell>
          <cell r="F1409">
            <v>0</v>
          </cell>
          <cell r="G1409">
            <v>0</v>
          </cell>
          <cell r="H1409">
            <v>5028.0515356346141</v>
          </cell>
          <cell r="I1409">
            <v>0</v>
          </cell>
        </row>
        <row r="1410">
          <cell r="C1410">
            <v>0</v>
          </cell>
          <cell r="D1410" t="str">
            <v>IMPUETOS</v>
          </cell>
          <cell r="E1410">
            <v>0</v>
          </cell>
          <cell r="F1410" t="str">
            <v>IIBB</v>
          </cell>
          <cell r="G1410">
            <v>2.4E-2</v>
          </cell>
          <cell r="H1410">
            <v>120.67323685523074</v>
          </cell>
          <cell r="I1410">
            <v>0</v>
          </cell>
        </row>
        <row r="1411">
          <cell r="C1411">
            <v>0</v>
          </cell>
          <cell r="D1411">
            <v>0</v>
          </cell>
          <cell r="E1411">
            <v>0</v>
          </cell>
          <cell r="F1411" t="str">
            <v>IVA</v>
          </cell>
          <cell r="G1411">
            <v>0.21</v>
          </cell>
          <cell r="H1411">
            <v>1055.8908224832689</v>
          </cell>
          <cell r="I1411">
            <v>0</v>
          </cell>
        </row>
        <row r="1412">
          <cell r="C1412">
            <v>0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</row>
        <row r="1413">
          <cell r="C1413">
            <v>0</v>
          </cell>
          <cell r="D1413" t="str">
            <v>PRECIO TOTAL UNITARIO</v>
          </cell>
          <cell r="E1413">
            <v>0</v>
          </cell>
          <cell r="F1413">
            <v>0</v>
          </cell>
          <cell r="G1413">
            <v>0</v>
          </cell>
          <cell r="H1413">
            <v>6204.6155949731146</v>
          </cell>
          <cell r="I1413">
            <v>0</v>
          </cell>
        </row>
        <row r="1414"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</row>
        <row r="1415"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</row>
        <row r="1416">
          <cell r="C1416">
            <v>0</v>
          </cell>
          <cell r="D1416" t="str">
            <v>Rubro:</v>
          </cell>
          <cell r="E1416">
            <v>8</v>
          </cell>
          <cell r="F1416" t="str">
            <v>Estructura metálica</v>
          </cell>
          <cell r="G1416" t="e">
            <v>#NAME?</v>
          </cell>
          <cell r="H1416" t="e">
            <v>#NAME?</v>
          </cell>
          <cell r="I1416">
            <v>0</v>
          </cell>
        </row>
        <row r="1417">
          <cell r="C1417">
            <v>0</v>
          </cell>
          <cell r="D1417" t="str">
            <v>Sub Rubro:</v>
          </cell>
          <cell r="E1417">
            <v>8.3000000000000007</v>
          </cell>
          <cell r="F1417" t="str">
            <v>Baranda de Acceso</v>
          </cell>
          <cell r="G1417" t="e">
            <v>#NAME?</v>
          </cell>
          <cell r="H1417" t="e">
            <v>#NAME?</v>
          </cell>
          <cell r="I1417">
            <v>0</v>
          </cell>
        </row>
        <row r="1418">
          <cell r="C1418">
            <v>0</v>
          </cell>
          <cell r="D1418" t="str">
            <v>Ítem:</v>
          </cell>
          <cell r="E1418">
            <v>8.3000000000000007</v>
          </cell>
          <cell r="F1418" t="str">
            <v>Baranda de Acceso</v>
          </cell>
          <cell r="G1418" t="e">
            <v>#NAME?</v>
          </cell>
          <cell r="H1418" t="e">
            <v>#NAME?</v>
          </cell>
          <cell r="I1418">
            <v>0</v>
          </cell>
        </row>
        <row r="1419">
          <cell r="C1419">
            <v>0</v>
          </cell>
          <cell r="D1419" t="str">
            <v>Unida:</v>
          </cell>
          <cell r="E1419" t="str">
            <v>gl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</row>
        <row r="1420">
          <cell r="C1420">
            <v>0</v>
          </cell>
          <cell r="D1420" t="str">
            <v>DENOMINACION</v>
          </cell>
          <cell r="E1420" t="str">
            <v>UNIDAD</v>
          </cell>
          <cell r="F1420" t="str">
            <v>COSTO UNITARIO</v>
          </cell>
          <cell r="G1420" t="str">
            <v>RENDIMIENTO POR UNIDAD</v>
          </cell>
          <cell r="H1420" t="str">
            <v>COSTO PARCIAL</v>
          </cell>
          <cell r="I1420">
            <v>0</v>
          </cell>
        </row>
        <row r="1421">
          <cell r="C1421">
            <v>0</v>
          </cell>
          <cell r="D1421" t="str">
            <v>A- MATERIALES:</v>
          </cell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</row>
        <row r="1422">
          <cell r="C1422">
            <v>0</v>
          </cell>
          <cell r="D1422" t="str">
            <v>Accesorios</v>
          </cell>
          <cell r="E1422" t="str">
            <v>gl</v>
          </cell>
          <cell r="F1422">
            <v>1000</v>
          </cell>
          <cell r="G1422">
            <v>5</v>
          </cell>
          <cell r="H1422">
            <v>5000</v>
          </cell>
          <cell r="I1422">
            <v>0</v>
          </cell>
        </row>
        <row r="1423">
          <cell r="C1423">
            <v>0</v>
          </cell>
          <cell r="D1423">
            <v>0</v>
          </cell>
          <cell r="E1423" t="str">
            <v>-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</row>
        <row r="1424">
          <cell r="C1424">
            <v>0</v>
          </cell>
          <cell r="D1424">
            <v>0</v>
          </cell>
          <cell r="E1424" t="str">
            <v>-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</row>
        <row r="1425">
          <cell r="C1425">
            <v>0</v>
          </cell>
          <cell r="D1425">
            <v>0</v>
          </cell>
          <cell r="E1425" t="str">
            <v>-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</row>
        <row r="1426">
          <cell r="C1426">
            <v>0</v>
          </cell>
          <cell r="D1426">
            <v>0</v>
          </cell>
          <cell r="E1426" t="str">
            <v>-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</row>
        <row r="1427">
          <cell r="C1427">
            <v>0</v>
          </cell>
          <cell r="D1427">
            <v>0</v>
          </cell>
          <cell r="E1427" t="str">
            <v>-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</row>
        <row r="1428">
          <cell r="C1428">
            <v>0</v>
          </cell>
          <cell r="D1428">
            <v>0</v>
          </cell>
          <cell r="E1428" t="str">
            <v>-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</row>
        <row r="1429">
          <cell r="C1429">
            <v>0</v>
          </cell>
          <cell r="D1429">
            <v>0</v>
          </cell>
          <cell r="E1429" t="str">
            <v>-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</row>
        <row r="1430">
          <cell r="C1430">
            <v>0</v>
          </cell>
          <cell r="D1430">
            <v>0</v>
          </cell>
          <cell r="E1430" t="str">
            <v>-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</row>
        <row r="1431">
          <cell r="C1431">
            <v>0</v>
          </cell>
          <cell r="D1431">
            <v>0</v>
          </cell>
          <cell r="E1431" t="str">
            <v>-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</row>
        <row r="1432">
          <cell r="C1432">
            <v>0</v>
          </cell>
          <cell r="D1432">
            <v>0</v>
          </cell>
          <cell r="E1432" t="str">
            <v>-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</row>
        <row r="1433">
          <cell r="C1433">
            <v>0</v>
          </cell>
          <cell r="D1433">
            <v>0</v>
          </cell>
          <cell r="E1433" t="str">
            <v>-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</row>
        <row r="1434">
          <cell r="C1434">
            <v>0</v>
          </cell>
          <cell r="D1434">
            <v>0</v>
          </cell>
          <cell r="E1434" t="str">
            <v>-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</row>
        <row r="1435">
          <cell r="C1435">
            <v>0</v>
          </cell>
          <cell r="D1435">
            <v>0</v>
          </cell>
          <cell r="E1435" t="str">
            <v>-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</row>
        <row r="1436">
          <cell r="C1436">
            <v>0</v>
          </cell>
          <cell r="D1436">
            <v>0</v>
          </cell>
          <cell r="E1436" t="str">
            <v>-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</row>
        <row r="1437">
          <cell r="C1437">
            <v>0</v>
          </cell>
          <cell r="D1437">
            <v>0</v>
          </cell>
          <cell r="E1437" t="str">
            <v>-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</row>
        <row r="1438">
          <cell r="C1438">
            <v>0</v>
          </cell>
          <cell r="D1438">
            <v>0</v>
          </cell>
          <cell r="E1438" t="str">
            <v>-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</row>
        <row r="1439">
          <cell r="C1439">
            <v>0</v>
          </cell>
          <cell r="D1439">
            <v>0</v>
          </cell>
          <cell r="E1439" t="str">
            <v>-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</row>
        <row r="1440">
          <cell r="C1440">
            <v>0</v>
          </cell>
          <cell r="D1440">
            <v>0</v>
          </cell>
          <cell r="E1440" t="str">
            <v>-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</row>
        <row r="1441">
          <cell r="C1441">
            <v>0</v>
          </cell>
          <cell r="D1441">
            <v>0</v>
          </cell>
          <cell r="E1441" t="str">
            <v>-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</row>
        <row r="1442">
          <cell r="C1442">
            <v>0</v>
          </cell>
          <cell r="D1442" t="str">
            <v>SUB TOTAL MATERIALES</v>
          </cell>
          <cell r="E1442">
            <v>0</v>
          </cell>
          <cell r="F1442">
            <v>0</v>
          </cell>
          <cell r="G1442">
            <v>0</v>
          </cell>
          <cell r="H1442">
            <v>5000</v>
          </cell>
          <cell r="I1442">
            <v>0</v>
          </cell>
        </row>
        <row r="1443">
          <cell r="C1443">
            <v>0</v>
          </cell>
          <cell r="D1443" t="str">
            <v>B- MANO DE OBRA:</v>
          </cell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</row>
        <row r="1444">
          <cell r="C1444">
            <v>0</v>
          </cell>
          <cell r="D1444" t="str">
            <v>Oficial</v>
          </cell>
          <cell r="E1444" t="str">
            <v>hs</v>
          </cell>
          <cell r="F1444">
            <v>56.619016000000002</v>
          </cell>
          <cell r="G1444">
            <v>9</v>
          </cell>
          <cell r="H1444">
            <v>509.571144</v>
          </cell>
          <cell r="I1444">
            <v>0</v>
          </cell>
        </row>
        <row r="1445">
          <cell r="C1445">
            <v>0</v>
          </cell>
          <cell r="D1445" t="str">
            <v>Ayudante</v>
          </cell>
          <cell r="E1445" t="str">
            <v>hs</v>
          </cell>
          <cell r="F1445">
            <v>48.396512000000008</v>
          </cell>
          <cell r="G1445">
            <v>1</v>
          </cell>
          <cell r="H1445">
            <v>48.396512000000008</v>
          </cell>
          <cell r="I1445">
            <v>0</v>
          </cell>
        </row>
        <row r="1446">
          <cell r="C1446">
            <v>0</v>
          </cell>
          <cell r="D1446" t="str">
            <v>-</v>
          </cell>
          <cell r="E1446" t="str">
            <v>-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</row>
        <row r="1447">
          <cell r="C1447">
            <v>0</v>
          </cell>
          <cell r="D1447" t="str">
            <v>-</v>
          </cell>
          <cell r="E1447" t="str">
            <v>-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</row>
        <row r="1448">
          <cell r="C1448">
            <v>0</v>
          </cell>
          <cell r="D1448" t="str">
            <v>-</v>
          </cell>
          <cell r="E1448" t="str">
            <v>-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</row>
        <row r="1449">
          <cell r="C1449">
            <v>0</v>
          </cell>
          <cell r="D1449" t="str">
            <v>SUB TOTAL MANO DE OBRA</v>
          </cell>
          <cell r="E1449">
            <v>0</v>
          </cell>
          <cell r="F1449">
            <v>0</v>
          </cell>
          <cell r="G1449">
            <v>0</v>
          </cell>
          <cell r="H1449">
            <v>557.96765600000003</v>
          </cell>
          <cell r="I1449">
            <v>0</v>
          </cell>
        </row>
        <row r="1450">
          <cell r="C1450">
            <v>0</v>
          </cell>
          <cell r="D1450" t="str">
            <v>C- EQUIPOS:</v>
          </cell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</row>
        <row r="1451">
          <cell r="C1451">
            <v>0</v>
          </cell>
          <cell r="D1451" t="str">
            <v>Herramientas de Mano</v>
          </cell>
          <cell r="E1451" t="str">
            <v>gl</v>
          </cell>
          <cell r="F1451">
            <v>166.73902967999999</v>
          </cell>
          <cell r="G1451">
            <v>1</v>
          </cell>
          <cell r="H1451">
            <v>166.73902967999999</v>
          </cell>
          <cell r="I1451">
            <v>0</v>
          </cell>
        </row>
        <row r="1452">
          <cell r="C1452">
            <v>0</v>
          </cell>
          <cell r="D1452" t="str">
            <v>-</v>
          </cell>
          <cell r="E1452" t="str">
            <v>-</v>
          </cell>
          <cell r="F1452">
            <v>0</v>
          </cell>
          <cell r="G1452">
            <v>0</v>
          </cell>
          <cell r="H1452">
            <v>0</v>
          </cell>
          <cell r="I1452">
            <v>0</v>
          </cell>
        </row>
        <row r="1453">
          <cell r="C1453">
            <v>0</v>
          </cell>
          <cell r="D1453" t="str">
            <v>-</v>
          </cell>
          <cell r="E1453" t="str">
            <v>-</v>
          </cell>
          <cell r="F1453">
            <v>0</v>
          </cell>
          <cell r="G1453">
            <v>0</v>
          </cell>
          <cell r="H1453">
            <v>0</v>
          </cell>
          <cell r="I1453">
            <v>0</v>
          </cell>
        </row>
        <row r="1454">
          <cell r="C1454">
            <v>0</v>
          </cell>
          <cell r="D1454" t="str">
            <v>-</v>
          </cell>
          <cell r="E1454" t="str">
            <v>-</v>
          </cell>
          <cell r="F1454">
            <v>0</v>
          </cell>
          <cell r="G1454">
            <v>0</v>
          </cell>
          <cell r="H1454">
            <v>0</v>
          </cell>
          <cell r="I1454">
            <v>0</v>
          </cell>
        </row>
        <row r="1455">
          <cell r="C1455">
            <v>0</v>
          </cell>
          <cell r="D1455" t="str">
            <v>-</v>
          </cell>
          <cell r="E1455" t="str">
            <v>-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</row>
        <row r="1456">
          <cell r="C1456">
            <v>0</v>
          </cell>
          <cell r="D1456" t="str">
            <v>SUB TOTAL EQUIPOS</v>
          </cell>
          <cell r="E1456">
            <v>0</v>
          </cell>
          <cell r="F1456">
            <v>0</v>
          </cell>
          <cell r="G1456">
            <v>0</v>
          </cell>
          <cell r="H1456">
            <v>166.73902967999999</v>
          </cell>
          <cell r="I1456">
            <v>0</v>
          </cell>
        </row>
        <row r="1457">
          <cell r="C1457">
            <v>0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  <cell r="H1457">
            <v>0</v>
          </cell>
          <cell r="I1457">
            <v>0</v>
          </cell>
        </row>
        <row r="1458">
          <cell r="B1458">
            <v>27</v>
          </cell>
          <cell r="C1458">
            <v>0</v>
          </cell>
          <cell r="D1458" t="str">
            <v>COSTO-COSTO</v>
          </cell>
          <cell r="E1458">
            <v>0</v>
          </cell>
          <cell r="F1458">
            <v>0</v>
          </cell>
          <cell r="G1458">
            <v>0</v>
          </cell>
          <cell r="H1458">
            <v>5724.7066856800002</v>
          </cell>
          <cell r="I1458">
            <v>0</v>
          </cell>
        </row>
        <row r="1459">
          <cell r="C1459">
            <v>0</v>
          </cell>
          <cell r="D1459" t="str">
            <v>GASTO FINANCIERO</v>
          </cell>
          <cell r="E1459">
            <v>0</v>
          </cell>
          <cell r="F1459">
            <v>0</v>
          </cell>
          <cell r="G1459">
            <v>0.02</v>
          </cell>
          <cell r="H1459">
            <v>114.49413371360001</v>
          </cell>
          <cell r="I1459">
            <v>0</v>
          </cell>
        </row>
        <row r="1460">
          <cell r="C1460">
            <v>0</v>
          </cell>
          <cell r="D1460" t="str">
            <v>SUB TOTAL</v>
          </cell>
          <cell r="E1460">
            <v>0</v>
          </cell>
          <cell r="F1460">
            <v>0</v>
          </cell>
          <cell r="G1460">
            <v>0</v>
          </cell>
          <cell r="H1460">
            <v>5839.2008193935999</v>
          </cell>
          <cell r="I1460">
            <v>0</v>
          </cell>
        </row>
        <row r="1461">
          <cell r="C1461">
            <v>0</v>
          </cell>
          <cell r="D1461" t="str">
            <v>GASTOS GENERALES</v>
          </cell>
          <cell r="E1461">
            <v>0</v>
          </cell>
          <cell r="F1461">
            <v>0</v>
          </cell>
          <cell r="G1461">
            <v>0.35116211482007981</v>
          </cell>
          <cell r="H1461">
            <v>2050.5061085973994</v>
          </cell>
          <cell r="I1461">
            <v>0</v>
          </cell>
        </row>
        <row r="1462">
          <cell r="C1462">
            <v>0</v>
          </cell>
          <cell r="D1462" t="str">
            <v>BENEFICIO</v>
          </cell>
          <cell r="E1462">
            <v>0</v>
          </cell>
          <cell r="F1462">
            <v>0</v>
          </cell>
          <cell r="G1462">
            <v>0.1</v>
          </cell>
          <cell r="H1462">
            <v>583.92008193935999</v>
          </cell>
          <cell r="I1462">
            <v>0</v>
          </cell>
        </row>
        <row r="1463">
          <cell r="C1463">
            <v>0</v>
          </cell>
          <cell r="D1463" t="str">
            <v>COSTO TOTAL UNITARIO</v>
          </cell>
          <cell r="E1463">
            <v>0</v>
          </cell>
          <cell r="F1463">
            <v>0</v>
          </cell>
          <cell r="G1463">
            <v>0</v>
          </cell>
          <cell r="H1463">
            <v>8473.6270099303583</v>
          </cell>
          <cell r="I1463">
            <v>0</v>
          </cell>
        </row>
        <row r="1464">
          <cell r="C1464">
            <v>0</v>
          </cell>
          <cell r="D1464" t="str">
            <v>IMPUETOS</v>
          </cell>
          <cell r="E1464">
            <v>0</v>
          </cell>
          <cell r="F1464" t="str">
            <v>IIBB</v>
          </cell>
          <cell r="G1464">
            <v>2.4E-2</v>
          </cell>
          <cell r="H1464">
            <v>203.36704823832861</v>
          </cell>
          <cell r="I1464">
            <v>0</v>
          </cell>
        </row>
        <row r="1465">
          <cell r="C1465">
            <v>0</v>
          </cell>
          <cell r="D1465">
            <v>0</v>
          </cell>
          <cell r="E1465">
            <v>0</v>
          </cell>
          <cell r="F1465" t="str">
            <v>IVA</v>
          </cell>
          <cell r="G1465">
            <v>0.21</v>
          </cell>
          <cell r="H1465">
            <v>1779.4616720853751</v>
          </cell>
          <cell r="I1465">
            <v>0</v>
          </cell>
        </row>
        <row r="1466"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</row>
        <row r="1467">
          <cell r="C1467">
            <v>0</v>
          </cell>
          <cell r="D1467" t="str">
            <v>PRECIO TOTAL UNITARIO</v>
          </cell>
          <cell r="E1467">
            <v>0</v>
          </cell>
          <cell r="F1467">
            <v>0</v>
          </cell>
          <cell r="G1467">
            <v>0</v>
          </cell>
          <cell r="H1467">
            <v>10456.455730254062</v>
          </cell>
          <cell r="I1467">
            <v>0</v>
          </cell>
        </row>
        <row r="1468">
          <cell r="C1468">
            <v>0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  <cell r="H1468">
            <v>0</v>
          </cell>
          <cell r="I1468">
            <v>0</v>
          </cell>
        </row>
        <row r="1469">
          <cell r="C1469">
            <v>0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  <cell r="H1469">
            <v>0</v>
          </cell>
          <cell r="I1469">
            <v>0</v>
          </cell>
        </row>
        <row r="1470">
          <cell r="C1470">
            <v>0</v>
          </cell>
          <cell r="D1470" t="str">
            <v>Rubro:</v>
          </cell>
          <cell r="E1470">
            <v>8</v>
          </cell>
          <cell r="F1470" t="str">
            <v>Estructura metálica</v>
          </cell>
          <cell r="G1470" t="e">
            <v>#NAME?</v>
          </cell>
          <cell r="H1470" t="e">
            <v>#NAME?</v>
          </cell>
          <cell r="I1470">
            <v>0</v>
          </cell>
        </row>
        <row r="1471">
          <cell r="C1471">
            <v>0</v>
          </cell>
          <cell r="D1471" t="str">
            <v>Sub Rubro:</v>
          </cell>
          <cell r="E1471">
            <v>8.4</v>
          </cell>
          <cell r="F1471" t="str">
            <v>Reja con Puerta de emergencia</v>
          </cell>
          <cell r="G1471" t="e">
            <v>#NAME?</v>
          </cell>
          <cell r="H1471" t="e">
            <v>#NAME?</v>
          </cell>
          <cell r="I1471">
            <v>0</v>
          </cell>
        </row>
        <row r="1472">
          <cell r="C1472">
            <v>0</v>
          </cell>
          <cell r="D1472" t="str">
            <v>Ítem:</v>
          </cell>
          <cell r="E1472">
            <v>8.4</v>
          </cell>
          <cell r="F1472" t="str">
            <v>Reja con Puerta de emergencia</v>
          </cell>
          <cell r="G1472" t="e">
            <v>#NAME?</v>
          </cell>
          <cell r="H1472" t="e">
            <v>#NAME?</v>
          </cell>
          <cell r="I1472">
            <v>0</v>
          </cell>
        </row>
        <row r="1473">
          <cell r="C1473">
            <v>0</v>
          </cell>
          <cell r="D1473" t="str">
            <v>Unida:</v>
          </cell>
          <cell r="E1473" t="str">
            <v>gl</v>
          </cell>
          <cell r="F1473">
            <v>0</v>
          </cell>
          <cell r="G1473">
            <v>0</v>
          </cell>
          <cell r="H1473">
            <v>0</v>
          </cell>
          <cell r="I1473">
            <v>0</v>
          </cell>
        </row>
        <row r="1474">
          <cell r="C1474">
            <v>0</v>
          </cell>
          <cell r="D1474" t="str">
            <v>DENOMINACION</v>
          </cell>
          <cell r="E1474" t="str">
            <v>UNIDAD</v>
          </cell>
          <cell r="F1474" t="str">
            <v>COSTO UNITARIO</v>
          </cell>
          <cell r="G1474" t="str">
            <v>RENDIMIENTO POR UNIDAD</v>
          </cell>
          <cell r="H1474" t="str">
            <v>COSTO PARCIAL</v>
          </cell>
          <cell r="I1474">
            <v>0</v>
          </cell>
        </row>
        <row r="1475">
          <cell r="C1475">
            <v>0</v>
          </cell>
          <cell r="D1475" t="str">
            <v>A- MATERIALES:</v>
          </cell>
          <cell r="E1475">
            <v>0</v>
          </cell>
          <cell r="F1475">
            <v>0</v>
          </cell>
          <cell r="G1475">
            <v>0</v>
          </cell>
          <cell r="H1475">
            <v>0</v>
          </cell>
          <cell r="I1475">
            <v>0</v>
          </cell>
        </row>
        <row r="1476">
          <cell r="C1476">
            <v>0</v>
          </cell>
          <cell r="D1476" t="str">
            <v>Perfileria</v>
          </cell>
          <cell r="E1476" t="str">
            <v>Kg</v>
          </cell>
          <cell r="F1476">
            <v>15</v>
          </cell>
          <cell r="G1476">
            <v>500</v>
          </cell>
          <cell r="H1476">
            <v>7500</v>
          </cell>
          <cell r="I1476">
            <v>0</v>
          </cell>
        </row>
        <row r="1477">
          <cell r="C1477">
            <v>0</v>
          </cell>
          <cell r="D1477" t="str">
            <v>Accesorios</v>
          </cell>
          <cell r="E1477" t="str">
            <v>gl</v>
          </cell>
          <cell r="F1477">
            <v>1000</v>
          </cell>
          <cell r="G1477">
            <v>1</v>
          </cell>
          <cell r="H1477">
            <v>1000</v>
          </cell>
          <cell r="I1477">
            <v>0</v>
          </cell>
        </row>
        <row r="1478">
          <cell r="C1478">
            <v>0</v>
          </cell>
          <cell r="D1478">
            <v>0</v>
          </cell>
          <cell r="E1478" t="str">
            <v>-</v>
          </cell>
          <cell r="F1478">
            <v>0</v>
          </cell>
          <cell r="G1478">
            <v>0</v>
          </cell>
          <cell r="H1478">
            <v>0</v>
          </cell>
          <cell r="I1478">
            <v>0</v>
          </cell>
        </row>
        <row r="1479">
          <cell r="C1479">
            <v>0</v>
          </cell>
          <cell r="D1479">
            <v>0</v>
          </cell>
          <cell r="E1479" t="str">
            <v>-</v>
          </cell>
          <cell r="F1479">
            <v>0</v>
          </cell>
          <cell r="G1479">
            <v>0</v>
          </cell>
          <cell r="H1479">
            <v>0</v>
          </cell>
          <cell r="I1479">
            <v>0</v>
          </cell>
        </row>
        <row r="1480">
          <cell r="C1480">
            <v>0</v>
          </cell>
          <cell r="D1480">
            <v>0</v>
          </cell>
          <cell r="E1480" t="str">
            <v>-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</row>
        <row r="1481">
          <cell r="C1481">
            <v>0</v>
          </cell>
          <cell r="D1481">
            <v>0</v>
          </cell>
          <cell r="E1481" t="str">
            <v>-</v>
          </cell>
          <cell r="F1481">
            <v>0</v>
          </cell>
          <cell r="G1481">
            <v>0</v>
          </cell>
          <cell r="H1481">
            <v>0</v>
          </cell>
          <cell r="I1481">
            <v>0</v>
          </cell>
        </row>
        <row r="1482">
          <cell r="C1482">
            <v>0</v>
          </cell>
          <cell r="D1482">
            <v>0</v>
          </cell>
          <cell r="E1482" t="str">
            <v>-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</row>
        <row r="1483">
          <cell r="C1483">
            <v>0</v>
          </cell>
          <cell r="D1483">
            <v>0</v>
          </cell>
          <cell r="E1483" t="str">
            <v>-</v>
          </cell>
          <cell r="F1483">
            <v>0</v>
          </cell>
          <cell r="G1483">
            <v>0</v>
          </cell>
          <cell r="H1483">
            <v>0</v>
          </cell>
          <cell r="I1483">
            <v>0</v>
          </cell>
        </row>
        <row r="1484">
          <cell r="C1484">
            <v>0</v>
          </cell>
          <cell r="D1484">
            <v>0</v>
          </cell>
          <cell r="E1484" t="str">
            <v>-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</row>
        <row r="1485">
          <cell r="C1485">
            <v>0</v>
          </cell>
          <cell r="D1485">
            <v>0</v>
          </cell>
          <cell r="E1485" t="str">
            <v>-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</row>
        <row r="1486">
          <cell r="C1486">
            <v>0</v>
          </cell>
          <cell r="D1486">
            <v>0</v>
          </cell>
          <cell r="E1486" t="str">
            <v>-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</row>
        <row r="1487">
          <cell r="C1487">
            <v>0</v>
          </cell>
          <cell r="D1487">
            <v>0</v>
          </cell>
          <cell r="E1487" t="str">
            <v>-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</row>
        <row r="1488">
          <cell r="C1488">
            <v>0</v>
          </cell>
          <cell r="D1488">
            <v>0</v>
          </cell>
          <cell r="E1488" t="str">
            <v>-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</row>
        <row r="1489">
          <cell r="C1489">
            <v>0</v>
          </cell>
          <cell r="D1489">
            <v>0</v>
          </cell>
          <cell r="E1489" t="str">
            <v>-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</row>
        <row r="1490">
          <cell r="C1490">
            <v>0</v>
          </cell>
          <cell r="D1490">
            <v>0</v>
          </cell>
          <cell r="E1490" t="str">
            <v>-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</row>
        <row r="1491">
          <cell r="C1491">
            <v>0</v>
          </cell>
          <cell r="D1491">
            <v>0</v>
          </cell>
          <cell r="E1491" t="str">
            <v>-</v>
          </cell>
          <cell r="F1491">
            <v>0</v>
          </cell>
          <cell r="G1491">
            <v>0</v>
          </cell>
          <cell r="H1491">
            <v>0</v>
          </cell>
          <cell r="I1491">
            <v>0</v>
          </cell>
        </row>
        <row r="1492">
          <cell r="C1492">
            <v>0</v>
          </cell>
          <cell r="D1492">
            <v>0</v>
          </cell>
          <cell r="E1492" t="str">
            <v>-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</row>
        <row r="1493">
          <cell r="C1493">
            <v>0</v>
          </cell>
          <cell r="D1493">
            <v>0</v>
          </cell>
          <cell r="E1493" t="str">
            <v>-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</row>
        <row r="1494">
          <cell r="C1494">
            <v>0</v>
          </cell>
          <cell r="D1494">
            <v>0</v>
          </cell>
          <cell r="E1494" t="str">
            <v>-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</row>
        <row r="1495">
          <cell r="C1495">
            <v>0</v>
          </cell>
          <cell r="D1495">
            <v>0</v>
          </cell>
          <cell r="E1495" t="str">
            <v>-</v>
          </cell>
          <cell r="F1495">
            <v>0</v>
          </cell>
          <cell r="G1495">
            <v>0</v>
          </cell>
          <cell r="H1495">
            <v>0</v>
          </cell>
          <cell r="I1495">
            <v>0</v>
          </cell>
        </row>
        <row r="1496">
          <cell r="C1496">
            <v>0</v>
          </cell>
          <cell r="D1496" t="str">
            <v>SUB TOTAL MATERIALES</v>
          </cell>
          <cell r="E1496">
            <v>0</v>
          </cell>
          <cell r="F1496">
            <v>0</v>
          </cell>
          <cell r="G1496">
            <v>0</v>
          </cell>
          <cell r="H1496">
            <v>8500</v>
          </cell>
          <cell r="I1496">
            <v>0</v>
          </cell>
        </row>
        <row r="1497">
          <cell r="C1497">
            <v>0</v>
          </cell>
          <cell r="D1497" t="str">
            <v>B- MANO DE OBRA:</v>
          </cell>
          <cell r="E1497">
            <v>0</v>
          </cell>
          <cell r="F1497">
            <v>0</v>
          </cell>
          <cell r="G1497">
            <v>0</v>
          </cell>
          <cell r="H1497">
            <v>0</v>
          </cell>
          <cell r="I1497">
            <v>0</v>
          </cell>
        </row>
        <row r="1498">
          <cell r="C1498">
            <v>0</v>
          </cell>
          <cell r="D1498" t="str">
            <v>Oficial</v>
          </cell>
          <cell r="E1498" t="str">
            <v>hs</v>
          </cell>
          <cell r="F1498">
            <v>56.619016000000002</v>
          </cell>
          <cell r="G1498">
            <v>100</v>
          </cell>
          <cell r="H1498">
            <v>5661.9016000000001</v>
          </cell>
          <cell r="I1498">
            <v>0</v>
          </cell>
        </row>
        <row r="1499">
          <cell r="C1499">
            <v>0</v>
          </cell>
          <cell r="D1499" t="str">
            <v>Ayudante</v>
          </cell>
          <cell r="E1499" t="str">
            <v>hs</v>
          </cell>
          <cell r="F1499">
            <v>48.396512000000008</v>
          </cell>
          <cell r="G1499">
            <v>40</v>
          </cell>
          <cell r="H1499">
            <v>1935.8604800000003</v>
          </cell>
          <cell r="I1499">
            <v>0</v>
          </cell>
        </row>
        <row r="1500">
          <cell r="C1500">
            <v>0</v>
          </cell>
          <cell r="D1500" t="str">
            <v>-</v>
          </cell>
          <cell r="E1500" t="str">
            <v>-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</row>
        <row r="1501">
          <cell r="C1501">
            <v>0</v>
          </cell>
          <cell r="D1501" t="str">
            <v>-</v>
          </cell>
          <cell r="E1501" t="str">
            <v>-</v>
          </cell>
          <cell r="F1501">
            <v>0</v>
          </cell>
          <cell r="G1501">
            <v>0</v>
          </cell>
          <cell r="H1501">
            <v>0</v>
          </cell>
          <cell r="I1501">
            <v>0</v>
          </cell>
        </row>
        <row r="1502">
          <cell r="C1502">
            <v>0</v>
          </cell>
          <cell r="D1502" t="str">
            <v>-</v>
          </cell>
          <cell r="E1502" t="str">
            <v>-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</row>
        <row r="1503">
          <cell r="C1503">
            <v>0</v>
          </cell>
          <cell r="D1503" t="str">
            <v>SUB TOTAL MANO DE OBRA</v>
          </cell>
          <cell r="E1503">
            <v>0</v>
          </cell>
          <cell r="F1503">
            <v>0</v>
          </cell>
          <cell r="G1503">
            <v>0</v>
          </cell>
          <cell r="H1503">
            <v>7597.7620800000004</v>
          </cell>
          <cell r="I1503">
            <v>0</v>
          </cell>
        </row>
        <row r="1504">
          <cell r="C1504">
            <v>0</v>
          </cell>
          <cell r="D1504" t="str">
            <v>C- EQUIPOS:</v>
          </cell>
          <cell r="E1504">
            <v>0</v>
          </cell>
          <cell r="F1504">
            <v>0</v>
          </cell>
          <cell r="G1504">
            <v>0</v>
          </cell>
          <cell r="H1504">
            <v>0</v>
          </cell>
          <cell r="I1504">
            <v>0</v>
          </cell>
        </row>
        <row r="1505">
          <cell r="C1505">
            <v>0</v>
          </cell>
          <cell r="D1505" t="str">
            <v>Herramientas de Mano</v>
          </cell>
          <cell r="E1505" t="str">
            <v>gl</v>
          </cell>
          <cell r="F1505">
            <v>482.93286239999998</v>
          </cell>
          <cell r="G1505">
            <v>1</v>
          </cell>
          <cell r="H1505">
            <v>482.93286239999998</v>
          </cell>
          <cell r="I1505">
            <v>0</v>
          </cell>
        </row>
        <row r="1506">
          <cell r="C1506">
            <v>0</v>
          </cell>
          <cell r="D1506" t="str">
            <v>-</v>
          </cell>
          <cell r="E1506" t="str">
            <v>-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</row>
        <row r="1507">
          <cell r="C1507">
            <v>0</v>
          </cell>
          <cell r="D1507" t="str">
            <v>-</v>
          </cell>
          <cell r="E1507" t="str">
            <v>-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</row>
        <row r="1508">
          <cell r="C1508">
            <v>0</v>
          </cell>
          <cell r="D1508" t="str">
            <v>-</v>
          </cell>
          <cell r="E1508" t="str">
            <v>-</v>
          </cell>
          <cell r="F1508">
            <v>0</v>
          </cell>
          <cell r="G1508">
            <v>0</v>
          </cell>
          <cell r="H1508">
            <v>0</v>
          </cell>
          <cell r="I1508">
            <v>0</v>
          </cell>
        </row>
        <row r="1509">
          <cell r="C1509">
            <v>0</v>
          </cell>
          <cell r="D1509" t="str">
            <v>-</v>
          </cell>
          <cell r="E1509" t="str">
            <v>-</v>
          </cell>
          <cell r="F1509">
            <v>0</v>
          </cell>
          <cell r="G1509">
            <v>0</v>
          </cell>
          <cell r="H1509">
            <v>0</v>
          </cell>
          <cell r="I1509">
            <v>0</v>
          </cell>
        </row>
        <row r="1510">
          <cell r="C1510">
            <v>0</v>
          </cell>
          <cell r="D1510" t="str">
            <v>SUB TOTAL EQUIPOS</v>
          </cell>
          <cell r="E1510">
            <v>0</v>
          </cell>
          <cell r="F1510">
            <v>0</v>
          </cell>
          <cell r="G1510">
            <v>0</v>
          </cell>
          <cell r="H1510">
            <v>482.93286239999998</v>
          </cell>
          <cell r="I1510">
            <v>0</v>
          </cell>
        </row>
        <row r="1511"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</row>
        <row r="1512">
          <cell r="B1512">
            <v>28</v>
          </cell>
          <cell r="C1512">
            <v>0</v>
          </cell>
          <cell r="D1512" t="str">
            <v>COSTO-COSTO</v>
          </cell>
          <cell r="E1512">
            <v>0</v>
          </cell>
          <cell r="F1512">
            <v>0</v>
          </cell>
          <cell r="G1512">
            <v>0</v>
          </cell>
          <cell r="H1512">
            <v>16580.694942400001</v>
          </cell>
          <cell r="I1512">
            <v>0</v>
          </cell>
        </row>
        <row r="1513">
          <cell r="C1513">
            <v>0</v>
          </cell>
          <cell r="D1513" t="str">
            <v>GASTO FINANCIERO</v>
          </cell>
          <cell r="E1513">
            <v>0</v>
          </cell>
          <cell r="F1513">
            <v>0</v>
          </cell>
          <cell r="G1513">
            <v>0.02</v>
          </cell>
          <cell r="H1513">
            <v>331.61389884800002</v>
          </cell>
          <cell r="I1513">
            <v>0</v>
          </cell>
        </row>
        <row r="1514">
          <cell r="C1514">
            <v>0</v>
          </cell>
          <cell r="D1514" t="str">
            <v>SUB TOTAL</v>
          </cell>
          <cell r="E1514">
            <v>0</v>
          </cell>
          <cell r="F1514">
            <v>0</v>
          </cell>
          <cell r="G1514">
            <v>0</v>
          </cell>
          <cell r="H1514">
            <v>16912.308841248003</v>
          </cell>
          <cell r="I1514">
            <v>0</v>
          </cell>
        </row>
        <row r="1515">
          <cell r="C1515">
            <v>0</v>
          </cell>
          <cell r="D1515" t="str">
            <v>GASTOS GENERALES</v>
          </cell>
          <cell r="E1515">
            <v>0</v>
          </cell>
          <cell r="F1515">
            <v>0</v>
          </cell>
          <cell r="G1515">
            <v>0.35116211482007981</v>
          </cell>
          <cell r="H1515">
            <v>5938.9621391829824</v>
          </cell>
          <cell r="I1515">
            <v>0</v>
          </cell>
        </row>
        <row r="1516">
          <cell r="C1516">
            <v>0</v>
          </cell>
          <cell r="D1516" t="str">
            <v>BENEFICIO</v>
          </cell>
          <cell r="E1516">
            <v>0</v>
          </cell>
          <cell r="F1516">
            <v>0</v>
          </cell>
          <cell r="G1516">
            <v>0.1</v>
          </cell>
          <cell r="H1516">
            <v>1691.2308841248005</v>
          </cell>
          <cell r="I1516">
            <v>0</v>
          </cell>
        </row>
        <row r="1517">
          <cell r="C1517">
            <v>0</v>
          </cell>
          <cell r="D1517" t="str">
            <v>COSTO TOTAL UNITARIO</v>
          </cell>
          <cell r="E1517">
            <v>0</v>
          </cell>
          <cell r="F1517">
            <v>0</v>
          </cell>
          <cell r="G1517">
            <v>0</v>
          </cell>
          <cell r="H1517">
            <v>24542.501864555787</v>
          </cell>
          <cell r="I1517">
            <v>0</v>
          </cell>
        </row>
        <row r="1518">
          <cell r="C1518">
            <v>0</v>
          </cell>
          <cell r="D1518" t="str">
            <v>IMPUETOS</v>
          </cell>
          <cell r="E1518">
            <v>0</v>
          </cell>
          <cell r="F1518" t="str">
            <v>IIBB</v>
          </cell>
          <cell r="G1518">
            <v>2.4E-2</v>
          </cell>
          <cell r="H1518">
            <v>589.02004474933892</v>
          </cell>
          <cell r="I1518">
            <v>0</v>
          </cell>
        </row>
        <row r="1519">
          <cell r="C1519">
            <v>0</v>
          </cell>
          <cell r="D1519">
            <v>0</v>
          </cell>
          <cell r="E1519">
            <v>0</v>
          </cell>
          <cell r="F1519" t="str">
            <v>IVA</v>
          </cell>
          <cell r="G1519">
            <v>0.21</v>
          </cell>
          <cell r="H1519">
            <v>5153.9253915567151</v>
          </cell>
          <cell r="I1519">
            <v>0</v>
          </cell>
        </row>
        <row r="1520">
          <cell r="C1520">
            <v>0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</row>
        <row r="1521">
          <cell r="C1521">
            <v>0</v>
          </cell>
          <cell r="D1521" t="str">
            <v>PRECIO TOTAL UNITARIO</v>
          </cell>
          <cell r="E1521">
            <v>0</v>
          </cell>
          <cell r="F1521">
            <v>0</v>
          </cell>
          <cell r="G1521">
            <v>0</v>
          </cell>
          <cell r="H1521">
            <v>30285.447300861844</v>
          </cell>
          <cell r="I1521">
            <v>0</v>
          </cell>
        </row>
        <row r="1522">
          <cell r="C1522">
            <v>0</v>
          </cell>
          <cell r="D1522">
            <v>0</v>
          </cell>
          <cell r="E1522">
            <v>0</v>
          </cell>
          <cell r="F1522">
            <v>0</v>
          </cell>
          <cell r="G1522">
            <v>0</v>
          </cell>
          <cell r="H1522">
            <v>0</v>
          </cell>
          <cell r="I1522">
            <v>0</v>
          </cell>
        </row>
        <row r="1523">
          <cell r="C1523">
            <v>0</v>
          </cell>
          <cell r="D1523">
            <v>0</v>
          </cell>
          <cell r="E1523">
            <v>0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</row>
        <row r="1524">
          <cell r="C1524">
            <v>0</v>
          </cell>
          <cell r="D1524" t="str">
            <v>Rubro:</v>
          </cell>
          <cell r="E1524">
            <v>8</v>
          </cell>
          <cell r="F1524" t="str">
            <v>Estructura metálica</v>
          </cell>
          <cell r="G1524" t="e">
            <v>#NAME?</v>
          </cell>
          <cell r="H1524" t="e">
            <v>#NAME?</v>
          </cell>
          <cell r="I1524">
            <v>0</v>
          </cell>
        </row>
        <row r="1525">
          <cell r="C1525">
            <v>0</v>
          </cell>
          <cell r="D1525" t="str">
            <v>Sub Rubro:</v>
          </cell>
          <cell r="E1525">
            <v>8.5</v>
          </cell>
          <cell r="F1525" t="str">
            <v xml:space="preserve">Rejas </v>
          </cell>
          <cell r="G1525" t="e">
            <v>#NAME?</v>
          </cell>
          <cell r="H1525" t="e">
            <v>#NAME?</v>
          </cell>
          <cell r="I1525">
            <v>0</v>
          </cell>
        </row>
        <row r="1526">
          <cell r="C1526">
            <v>0</v>
          </cell>
          <cell r="D1526" t="str">
            <v>Ítem:</v>
          </cell>
          <cell r="E1526">
            <v>8.5</v>
          </cell>
          <cell r="F1526" t="str">
            <v xml:space="preserve">Rejas </v>
          </cell>
          <cell r="G1526" t="e">
            <v>#NAME?</v>
          </cell>
          <cell r="H1526" t="e">
            <v>#NAME?</v>
          </cell>
          <cell r="I1526">
            <v>0</v>
          </cell>
        </row>
        <row r="1527">
          <cell r="C1527">
            <v>0</v>
          </cell>
          <cell r="D1527" t="str">
            <v>Unida:</v>
          </cell>
          <cell r="E1527" t="str">
            <v>gl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</row>
        <row r="1528">
          <cell r="C1528">
            <v>0</v>
          </cell>
          <cell r="D1528" t="str">
            <v>DENOMINACION</v>
          </cell>
          <cell r="E1528" t="str">
            <v>UNIDAD</v>
          </cell>
          <cell r="F1528" t="str">
            <v>COSTO UNITARIO</v>
          </cell>
          <cell r="G1528" t="str">
            <v>RENDIMIENTO POR UNIDAD</v>
          </cell>
          <cell r="H1528" t="str">
            <v>COSTO PARCIAL</v>
          </cell>
          <cell r="I1528">
            <v>0</v>
          </cell>
        </row>
        <row r="1529">
          <cell r="C1529">
            <v>0</v>
          </cell>
          <cell r="D1529" t="str">
            <v>A- MATERIALES: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</row>
        <row r="1530">
          <cell r="C1530">
            <v>0</v>
          </cell>
          <cell r="D1530" t="str">
            <v>Perfileria</v>
          </cell>
          <cell r="E1530" t="str">
            <v>Kg</v>
          </cell>
          <cell r="F1530">
            <v>15</v>
          </cell>
          <cell r="G1530">
            <v>100</v>
          </cell>
          <cell r="H1530">
            <v>1500</v>
          </cell>
          <cell r="I1530">
            <v>0</v>
          </cell>
        </row>
        <row r="1531">
          <cell r="C1531">
            <v>0</v>
          </cell>
          <cell r="D1531" t="str">
            <v>Accesorios</v>
          </cell>
          <cell r="E1531" t="str">
            <v>gl</v>
          </cell>
          <cell r="F1531">
            <v>1000</v>
          </cell>
          <cell r="G1531">
            <v>1</v>
          </cell>
          <cell r="H1531">
            <v>1000</v>
          </cell>
          <cell r="I1531">
            <v>0</v>
          </cell>
        </row>
        <row r="1532">
          <cell r="C1532">
            <v>0</v>
          </cell>
          <cell r="D1532">
            <v>0</v>
          </cell>
          <cell r="E1532" t="str">
            <v>-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</row>
        <row r="1533">
          <cell r="C1533">
            <v>0</v>
          </cell>
          <cell r="D1533">
            <v>0</v>
          </cell>
          <cell r="E1533" t="str">
            <v>-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</row>
        <row r="1534">
          <cell r="C1534">
            <v>0</v>
          </cell>
          <cell r="D1534">
            <v>0</v>
          </cell>
          <cell r="E1534" t="str">
            <v>-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</row>
        <row r="1535">
          <cell r="C1535">
            <v>0</v>
          </cell>
          <cell r="D1535">
            <v>0</v>
          </cell>
          <cell r="E1535" t="str">
            <v>-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</row>
        <row r="1536">
          <cell r="C1536">
            <v>0</v>
          </cell>
          <cell r="D1536">
            <v>0</v>
          </cell>
          <cell r="E1536" t="str">
            <v>-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</row>
        <row r="1537">
          <cell r="C1537">
            <v>0</v>
          </cell>
          <cell r="D1537">
            <v>0</v>
          </cell>
          <cell r="E1537" t="str">
            <v>-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</row>
        <row r="1538">
          <cell r="C1538">
            <v>0</v>
          </cell>
          <cell r="D1538">
            <v>0</v>
          </cell>
          <cell r="E1538" t="str">
            <v>-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</row>
        <row r="1539">
          <cell r="C1539">
            <v>0</v>
          </cell>
          <cell r="D1539">
            <v>0</v>
          </cell>
          <cell r="E1539" t="str">
            <v>-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</row>
        <row r="1540">
          <cell r="C1540">
            <v>0</v>
          </cell>
          <cell r="D1540">
            <v>0</v>
          </cell>
          <cell r="E1540" t="str">
            <v>-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</row>
        <row r="1541">
          <cell r="C1541">
            <v>0</v>
          </cell>
          <cell r="D1541">
            <v>0</v>
          </cell>
          <cell r="E1541" t="str">
            <v>-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</row>
        <row r="1542">
          <cell r="C1542">
            <v>0</v>
          </cell>
          <cell r="D1542">
            <v>0</v>
          </cell>
          <cell r="E1542" t="str">
            <v>-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</row>
        <row r="1543">
          <cell r="C1543">
            <v>0</v>
          </cell>
          <cell r="D1543">
            <v>0</v>
          </cell>
          <cell r="E1543" t="str">
            <v>-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</row>
        <row r="1544">
          <cell r="C1544">
            <v>0</v>
          </cell>
          <cell r="D1544">
            <v>0</v>
          </cell>
          <cell r="E1544" t="str">
            <v>-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</row>
        <row r="1545">
          <cell r="C1545">
            <v>0</v>
          </cell>
          <cell r="D1545">
            <v>0</v>
          </cell>
          <cell r="E1545" t="str">
            <v>-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</row>
        <row r="1546">
          <cell r="C1546">
            <v>0</v>
          </cell>
          <cell r="D1546">
            <v>0</v>
          </cell>
          <cell r="E1546" t="str">
            <v>-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</row>
        <row r="1547">
          <cell r="C1547">
            <v>0</v>
          </cell>
          <cell r="D1547">
            <v>0</v>
          </cell>
          <cell r="E1547" t="str">
            <v>-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</row>
        <row r="1548">
          <cell r="C1548">
            <v>0</v>
          </cell>
          <cell r="D1548">
            <v>0</v>
          </cell>
          <cell r="E1548" t="str">
            <v>-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</row>
        <row r="1549">
          <cell r="C1549">
            <v>0</v>
          </cell>
          <cell r="D1549">
            <v>0</v>
          </cell>
          <cell r="E1549" t="str">
            <v>-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</row>
        <row r="1550">
          <cell r="C1550">
            <v>0</v>
          </cell>
          <cell r="D1550" t="str">
            <v>SUB TOTAL MATERIALES</v>
          </cell>
          <cell r="E1550">
            <v>0</v>
          </cell>
          <cell r="F1550">
            <v>0</v>
          </cell>
          <cell r="G1550">
            <v>0</v>
          </cell>
          <cell r="H1550">
            <v>2500</v>
          </cell>
          <cell r="I1550">
            <v>0</v>
          </cell>
        </row>
        <row r="1551">
          <cell r="C1551">
            <v>0</v>
          </cell>
          <cell r="D1551" t="str">
            <v>B- MANO DE OBRA:</v>
          </cell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</row>
        <row r="1552">
          <cell r="C1552">
            <v>0</v>
          </cell>
          <cell r="D1552" t="str">
            <v>Oficial</v>
          </cell>
          <cell r="E1552" t="str">
            <v>hs</v>
          </cell>
          <cell r="F1552">
            <v>56.619016000000002</v>
          </cell>
          <cell r="G1552">
            <v>20</v>
          </cell>
          <cell r="H1552">
            <v>1132.38032</v>
          </cell>
          <cell r="I1552">
            <v>0</v>
          </cell>
        </row>
        <row r="1553">
          <cell r="C1553">
            <v>0</v>
          </cell>
          <cell r="D1553" t="str">
            <v>Ayudante</v>
          </cell>
          <cell r="E1553" t="str">
            <v>hs</v>
          </cell>
          <cell r="F1553">
            <v>48.396512000000008</v>
          </cell>
          <cell r="G1553">
            <v>8</v>
          </cell>
          <cell r="H1553">
            <v>387.17209600000007</v>
          </cell>
          <cell r="I1553">
            <v>0</v>
          </cell>
        </row>
        <row r="1554">
          <cell r="C1554">
            <v>0</v>
          </cell>
          <cell r="D1554" t="str">
            <v>-</v>
          </cell>
          <cell r="E1554" t="str">
            <v>-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</row>
        <row r="1555">
          <cell r="C1555">
            <v>0</v>
          </cell>
          <cell r="D1555" t="str">
            <v>-</v>
          </cell>
          <cell r="E1555" t="str">
            <v>-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</row>
        <row r="1556">
          <cell r="C1556">
            <v>0</v>
          </cell>
          <cell r="D1556" t="str">
            <v>-</v>
          </cell>
          <cell r="E1556" t="str">
            <v>-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</row>
        <row r="1557">
          <cell r="C1557">
            <v>0</v>
          </cell>
          <cell r="D1557" t="str">
            <v>SUB TOTAL MANO DE OBRA</v>
          </cell>
          <cell r="E1557">
            <v>0</v>
          </cell>
          <cell r="F1557">
            <v>0</v>
          </cell>
          <cell r="G1557">
            <v>0</v>
          </cell>
          <cell r="H1557">
            <v>1519.552416</v>
          </cell>
          <cell r="I1557">
            <v>0</v>
          </cell>
        </row>
        <row r="1558">
          <cell r="C1558">
            <v>0</v>
          </cell>
          <cell r="D1558" t="str">
            <v>C- EQUIPOS:</v>
          </cell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</row>
        <row r="1559">
          <cell r="C1559">
            <v>0</v>
          </cell>
          <cell r="D1559" t="str">
            <v>Herramientas de Mano</v>
          </cell>
          <cell r="E1559" t="str">
            <v>gl</v>
          </cell>
          <cell r="F1559">
            <v>120.58657248</v>
          </cell>
          <cell r="G1559">
            <v>1</v>
          </cell>
          <cell r="H1559">
            <v>120.58657248</v>
          </cell>
          <cell r="I1559">
            <v>0</v>
          </cell>
        </row>
        <row r="1560">
          <cell r="C1560">
            <v>0</v>
          </cell>
          <cell r="D1560" t="str">
            <v>-</v>
          </cell>
          <cell r="E1560" t="str">
            <v>-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</row>
        <row r="1561">
          <cell r="C1561">
            <v>0</v>
          </cell>
          <cell r="D1561" t="str">
            <v>-</v>
          </cell>
          <cell r="E1561" t="str">
            <v>-</v>
          </cell>
          <cell r="F1561">
            <v>0</v>
          </cell>
          <cell r="G1561">
            <v>0</v>
          </cell>
          <cell r="H1561">
            <v>0</v>
          </cell>
          <cell r="I1561">
            <v>0</v>
          </cell>
        </row>
        <row r="1562">
          <cell r="C1562">
            <v>0</v>
          </cell>
          <cell r="D1562" t="str">
            <v>-</v>
          </cell>
          <cell r="E1562" t="str">
            <v>-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</row>
        <row r="1563">
          <cell r="C1563">
            <v>0</v>
          </cell>
          <cell r="D1563" t="str">
            <v>-</v>
          </cell>
          <cell r="E1563" t="str">
            <v>-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</row>
        <row r="1564">
          <cell r="C1564">
            <v>0</v>
          </cell>
          <cell r="D1564" t="str">
            <v>SUB TOTAL EQUIPOS</v>
          </cell>
          <cell r="E1564">
            <v>0</v>
          </cell>
          <cell r="F1564">
            <v>0</v>
          </cell>
          <cell r="G1564">
            <v>0</v>
          </cell>
          <cell r="H1564">
            <v>120.58657248</v>
          </cell>
          <cell r="I1564">
            <v>0</v>
          </cell>
        </row>
        <row r="1565">
          <cell r="C1565">
            <v>0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</row>
        <row r="1566">
          <cell r="B1566">
            <v>29</v>
          </cell>
          <cell r="C1566">
            <v>0</v>
          </cell>
          <cell r="D1566" t="str">
            <v>COSTO-COSTO</v>
          </cell>
          <cell r="E1566">
            <v>0</v>
          </cell>
          <cell r="F1566">
            <v>0</v>
          </cell>
          <cell r="G1566">
            <v>0</v>
          </cell>
          <cell r="H1566">
            <v>4140.1389884800001</v>
          </cell>
          <cell r="I1566">
            <v>0</v>
          </cell>
        </row>
        <row r="1567">
          <cell r="C1567">
            <v>0</v>
          </cell>
          <cell r="D1567" t="str">
            <v>GASTO FINANCIERO</v>
          </cell>
          <cell r="E1567">
            <v>0</v>
          </cell>
          <cell r="F1567">
            <v>0</v>
          </cell>
          <cell r="G1567">
            <v>0.02</v>
          </cell>
          <cell r="H1567">
            <v>82.802779769600008</v>
          </cell>
          <cell r="I1567">
            <v>0</v>
          </cell>
        </row>
        <row r="1568">
          <cell r="C1568">
            <v>0</v>
          </cell>
          <cell r="D1568" t="str">
            <v>SUB TOTAL</v>
          </cell>
          <cell r="E1568">
            <v>0</v>
          </cell>
          <cell r="F1568">
            <v>0</v>
          </cell>
          <cell r="G1568">
            <v>0</v>
          </cell>
          <cell r="H1568">
            <v>4222.9417682496005</v>
          </cell>
          <cell r="I1568">
            <v>0</v>
          </cell>
        </row>
        <row r="1569">
          <cell r="C1569">
            <v>0</v>
          </cell>
          <cell r="D1569" t="str">
            <v>GASTOS GENERALES</v>
          </cell>
          <cell r="E1569">
            <v>0</v>
          </cell>
          <cell r="F1569">
            <v>0</v>
          </cell>
          <cell r="G1569">
            <v>0.35116211482007981</v>
          </cell>
          <cell r="H1569">
            <v>1482.9371621005771</v>
          </cell>
          <cell r="I1569">
            <v>0</v>
          </cell>
        </row>
        <row r="1570">
          <cell r="C1570">
            <v>0</v>
          </cell>
          <cell r="D1570" t="str">
            <v>BENEFICIO</v>
          </cell>
          <cell r="E1570">
            <v>0</v>
          </cell>
          <cell r="F1570">
            <v>0</v>
          </cell>
          <cell r="G1570">
            <v>0.1</v>
          </cell>
          <cell r="H1570">
            <v>422.29417682496006</v>
          </cell>
          <cell r="I1570">
            <v>0</v>
          </cell>
        </row>
        <row r="1571">
          <cell r="C1571">
            <v>0</v>
          </cell>
          <cell r="D1571" t="str">
            <v>COSTO TOTAL UNITARIO</v>
          </cell>
          <cell r="E1571">
            <v>0</v>
          </cell>
          <cell r="F1571">
            <v>0</v>
          </cell>
          <cell r="G1571">
            <v>0</v>
          </cell>
          <cell r="H1571">
            <v>6128.1731071751383</v>
          </cell>
          <cell r="I1571">
            <v>0</v>
          </cell>
        </row>
        <row r="1572">
          <cell r="C1572">
            <v>0</v>
          </cell>
          <cell r="D1572" t="str">
            <v>IMPUETOS</v>
          </cell>
          <cell r="E1572">
            <v>0</v>
          </cell>
          <cell r="F1572" t="str">
            <v>IIBB</v>
          </cell>
          <cell r="G1572">
            <v>2.4E-2</v>
          </cell>
          <cell r="H1572">
            <v>147.07615457220331</v>
          </cell>
          <cell r="I1572">
            <v>0</v>
          </cell>
        </row>
        <row r="1573">
          <cell r="C1573">
            <v>0</v>
          </cell>
          <cell r="D1573">
            <v>0</v>
          </cell>
          <cell r="E1573">
            <v>0</v>
          </cell>
          <cell r="F1573" t="str">
            <v>IVA</v>
          </cell>
          <cell r="G1573">
            <v>0.21</v>
          </cell>
          <cell r="H1573">
            <v>1286.916352506779</v>
          </cell>
          <cell r="I1573">
            <v>0</v>
          </cell>
        </row>
        <row r="1574">
          <cell r="C1574">
            <v>0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</row>
        <row r="1575">
          <cell r="C1575">
            <v>0</v>
          </cell>
          <cell r="D1575" t="str">
            <v>PRECIO TOTAL UNITARIO</v>
          </cell>
          <cell r="E1575">
            <v>0</v>
          </cell>
          <cell r="F1575">
            <v>0</v>
          </cell>
          <cell r="G1575">
            <v>0</v>
          </cell>
          <cell r="H1575">
            <v>7562.1656142541206</v>
          </cell>
          <cell r="I1575">
            <v>0</v>
          </cell>
        </row>
        <row r="1576">
          <cell r="C1576">
            <v>0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</row>
        <row r="1577">
          <cell r="C1577">
            <v>0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</row>
        <row r="1578">
          <cell r="C1578">
            <v>0</v>
          </cell>
          <cell r="D1578" t="str">
            <v>Rubro:</v>
          </cell>
          <cell r="E1578">
            <v>8</v>
          </cell>
          <cell r="F1578" t="str">
            <v>Estructura metálica</v>
          </cell>
          <cell r="G1578" t="e">
            <v>#NAME?</v>
          </cell>
          <cell r="H1578" t="e">
            <v>#NAME?</v>
          </cell>
          <cell r="I1578">
            <v>0</v>
          </cell>
        </row>
        <row r="1579">
          <cell r="C1579">
            <v>0</v>
          </cell>
          <cell r="D1579" t="str">
            <v>Sub Rubro:</v>
          </cell>
          <cell r="E1579">
            <v>8.6</v>
          </cell>
          <cell r="F1579" t="str">
            <v>Reparaciones menores</v>
          </cell>
          <cell r="G1579" t="e">
            <v>#NAME?</v>
          </cell>
          <cell r="H1579" t="e">
            <v>#NAME?</v>
          </cell>
          <cell r="I1579">
            <v>0</v>
          </cell>
        </row>
        <row r="1580">
          <cell r="C1580">
            <v>0</v>
          </cell>
          <cell r="D1580" t="str">
            <v>Ítem:</v>
          </cell>
          <cell r="E1580">
            <v>8.6</v>
          </cell>
          <cell r="F1580" t="str">
            <v>Reparaciones menores</v>
          </cell>
          <cell r="G1580" t="e">
            <v>#NAME?</v>
          </cell>
          <cell r="H1580" t="e">
            <v>#NAME?</v>
          </cell>
          <cell r="I1580">
            <v>0</v>
          </cell>
        </row>
        <row r="1581">
          <cell r="C1581">
            <v>0</v>
          </cell>
          <cell r="D1581" t="str">
            <v>Unida:</v>
          </cell>
          <cell r="E1581" t="str">
            <v>gl</v>
          </cell>
          <cell r="F1581">
            <v>0</v>
          </cell>
          <cell r="G1581">
            <v>0</v>
          </cell>
          <cell r="H1581">
            <v>0</v>
          </cell>
          <cell r="I1581">
            <v>0</v>
          </cell>
        </row>
        <row r="1582">
          <cell r="C1582">
            <v>0</v>
          </cell>
          <cell r="D1582" t="str">
            <v>DENOMINACION</v>
          </cell>
          <cell r="E1582" t="str">
            <v>UNIDAD</v>
          </cell>
          <cell r="F1582" t="str">
            <v>COSTO UNITARIO</v>
          </cell>
          <cell r="G1582" t="str">
            <v>RENDIMIENTO POR UNIDAD</v>
          </cell>
          <cell r="H1582" t="str">
            <v>COSTO PARCIAL</v>
          </cell>
          <cell r="I1582">
            <v>0</v>
          </cell>
        </row>
        <row r="1583">
          <cell r="C1583">
            <v>0</v>
          </cell>
          <cell r="D1583" t="str">
            <v>A- MATERIALES: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</row>
        <row r="1584">
          <cell r="C1584">
            <v>0</v>
          </cell>
          <cell r="D1584" t="str">
            <v>Accesorios</v>
          </cell>
          <cell r="E1584" t="str">
            <v>gl</v>
          </cell>
          <cell r="F1584">
            <v>1500</v>
          </cell>
          <cell r="G1584">
            <v>2</v>
          </cell>
          <cell r="H1584">
            <v>3000</v>
          </cell>
          <cell r="I1584">
            <v>0</v>
          </cell>
        </row>
        <row r="1585">
          <cell r="C1585">
            <v>0</v>
          </cell>
          <cell r="D1585">
            <v>0</v>
          </cell>
          <cell r="E1585" t="str">
            <v>-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</row>
        <row r="1586">
          <cell r="C1586">
            <v>0</v>
          </cell>
          <cell r="D1586">
            <v>0</v>
          </cell>
          <cell r="E1586" t="str">
            <v>-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</row>
        <row r="1587">
          <cell r="C1587">
            <v>0</v>
          </cell>
          <cell r="D1587">
            <v>0</v>
          </cell>
          <cell r="E1587" t="str">
            <v>-</v>
          </cell>
          <cell r="F1587">
            <v>0</v>
          </cell>
          <cell r="G1587">
            <v>0</v>
          </cell>
          <cell r="H1587">
            <v>0</v>
          </cell>
          <cell r="I1587">
            <v>0</v>
          </cell>
        </row>
        <row r="1588">
          <cell r="C1588">
            <v>0</v>
          </cell>
          <cell r="D1588">
            <v>0</v>
          </cell>
          <cell r="E1588" t="str">
            <v>-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</row>
        <row r="1589">
          <cell r="C1589">
            <v>0</v>
          </cell>
          <cell r="D1589">
            <v>0</v>
          </cell>
          <cell r="E1589" t="str">
            <v>-</v>
          </cell>
          <cell r="F1589">
            <v>0</v>
          </cell>
          <cell r="G1589">
            <v>0</v>
          </cell>
          <cell r="H1589">
            <v>0</v>
          </cell>
          <cell r="I1589">
            <v>0</v>
          </cell>
        </row>
        <row r="1590">
          <cell r="C1590">
            <v>0</v>
          </cell>
          <cell r="D1590">
            <v>0</v>
          </cell>
          <cell r="E1590" t="str">
            <v>-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</row>
        <row r="1591">
          <cell r="C1591">
            <v>0</v>
          </cell>
          <cell r="D1591">
            <v>0</v>
          </cell>
          <cell r="E1591" t="str">
            <v>-</v>
          </cell>
          <cell r="F1591">
            <v>0</v>
          </cell>
          <cell r="G1591">
            <v>0</v>
          </cell>
          <cell r="H1591">
            <v>0</v>
          </cell>
          <cell r="I1591">
            <v>0</v>
          </cell>
        </row>
        <row r="1592">
          <cell r="C1592">
            <v>0</v>
          </cell>
          <cell r="D1592">
            <v>0</v>
          </cell>
          <cell r="E1592" t="str">
            <v>-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</row>
        <row r="1593">
          <cell r="C1593">
            <v>0</v>
          </cell>
          <cell r="D1593">
            <v>0</v>
          </cell>
          <cell r="E1593" t="str">
            <v>-</v>
          </cell>
          <cell r="F1593">
            <v>0</v>
          </cell>
          <cell r="G1593">
            <v>0</v>
          </cell>
          <cell r="H1593">
            <v>0</v>
          </cell>
          <cell r="I1593">
            <v>0</v>
          </cell>
        </row>
        <row r="1594">
          <cell r="C1594">
            <v>0</v>
          </cell>
          <cell r="D1594">
            <v>0</v>
          </cell>
          <cell r="E1594" t="str">
            <v>-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</row>
        <row r="1595">
          <cell r="C1595">
            <v>0</v>
          </cell>
          <cell r="D1595">
            <v>0</v>
          </cell>
          <cell r="E1595" t="str">
            <v>-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</row>
        <row r="1596">
          <cell r="C1596">
            <v>0</v>
          </cell>
          <cell r="D1596">
            <v>0</v>
          </cell>
          <cell r="E1596" t="str">
            <v>-</v>
          </cell>
          <cell r="F1596">
            <v>0</v>
          </cell>
          <cell r="G1596">
            <v>0</v>
          </cell>
          <cell r="H1596">
            <v>0</v>
          </cell>
          <cell r="I1596">
            <v>0</v>
          </cell>
        </row>
        <row r="1597">
          <cell r="C1597">
            <v>0</v>
          </cell>
          <cell r="D1597">
            <v>0</v>
          </cell>
          <cell r="E1597" t="str">
            <v>-</v>
          </cell>
          <cell r="F1597">
            <v>0</v>
          </cell>
          <cell r="G1597">
            <v>0</v>
          </cell>
          <cell r="H1597">
            <v>0</v>
          </cell>
          <cell r="I1597">
            <v>0</v>
          </cell>
        </row>
        <row r="1598">
          <cell r="C1598">
            <v>0</v>
          </cell>
          <cell r="D1598">
            <v>0</v>
          </cell>
          <cell r="E1598" t="str">
            <v>-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</row>
        <row r="1599">
          <cell r="C1599">
            <v>0</v>
          </cell>
          <cell r="D1599">
            <v>0</v>
          </cell>
          <cell r="E1599" t="str">
            <v>-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</row>
        <row r="1600">
          <cell r="C1600">
            <v>0</v>
          </cell>
          <cell r="D1600">
            <v>0</v>
          </cell>
          <cell r="E1600" t="str">
            <v>-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</row>
        <row r="1601">
          <cell r="C1601">
            <v>0</v>
          </cell>
          <cell r="D1601">
            <v>0</v>
          </cell>
          <cell r="E1601" t="str">
            <v>-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</row>
        <row r="1602">
          <cell r="C1602">
            <v>0</v>
          </cell>
          <cell r="D1602">
            <v>0</v>
          </cell>
          <cell r="E1602" t="str">
            <v>-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</row>
        <row r="1603">
          <cell r="C1603">
            <v>0</v>
          </cell>
          <cell r="D1603">
            <v>0</v>
          </cell>
          <cell r="E1603" t="str">
            <v>-</v>
          </cell>
          <cell r="F1603">
            <v>0</v>
          </cell>
          <cell r="G1603">
            <v>0</v>
          </cell>
          <cell r="H1603">
            <v>0</v>
          </cell>
          <cell r="I1603">
            <v>0</v>
          </cell>
        </row>
        <row r="1604">
          <cell r="C1604">
            <v>0</v>
          </cell>
          <cell r="D1604" t="str">
            <v>SUB TOTAL MATERIALES</v>
          </cell>
          <cell r="E1604">
            <v>0</v>
          </cell>
          <cell r="F1604">
            <v>0</v>
          </cell>
          <cell r="G1604">
            <v>0</v>
          </cell>
          <cell r="H1604">
            <v>3000</v>
          </cell>
          <cell r="I1604">
            <v>0</v>
          </cell>
        </row>
        <row r="1605">
          <cell r="C1605">
            <v>0</v>
          </cell>
          <cell r="D1605" t="str">
            <v>B- MANO DE OBRA:</v>
          </cell>
          <cell r="E1605">
            <v>0</v>
          </cell>
          <cell r="F1605">
            <v>0</v>
          </cell>
          <cell r="G1605">
            <v>0</v>
          </cell>
          <cell r="H1605">
            <v>0</v>
          </cell>
          <cell r="I1605">
            <v>0</v>
          </cell>
        </row>
        <row r="1606">
          <cell r="C1606">
            <v>0</v>
          </cell>
          <cell r="D1606" t="str">
            <v>Oficial</v>
          </cell>
          <cell r="E1606" t="str">
            <v>hs</v>
          </cell>
          <cell r="F1606">
            <v>56.619016000000002</v>
          </cell>
          <cell r="G1606">
            <v>100</v>
          </cell>
          <cell r="H1606">
            <v>5661.9016000000001</v>
          </cell>
          <cell r="I1606">
            <v>0</v>
          </cell>
        </row>
        <row r="1607">
          <cell r="C1607">
            <v>0</v>
          </cell>
          <cell r="D1607" t="str">
            <v>Ayudante</v>
          </cell>
          <cell r="E1607" t="str">
            <v>hs</v>
          </cell>
          <cell r="F1607">
            <v>48.396512000000008</v>
          </cell>
          <cell r="G1607">
            <v>13.184801417093862</v>
          </cell>
          <cell r="H1607">
            <v>638.0984000000002</v>
          </cell>
          <cell r="I1607">
            <v>0</v>
          </cell>
        </row>
        <row r="1608">
          <cell r="C1608">
            <v>0</v>
          </cell>
          <cell r="D1608" t="str">
            <v>-</v>
          </cell>
          <cell r="E1608" t="str">
            <v>-</v>
          </cell>
          <cell r="F1608">
            <v>0</v>
          </cell>
          <cell r="G1608">
            <v>0</v>
          </cell>
          <cell r="H1608">
            <v>0</v>
          </cell>
          <cell r="I1608">
            <v>0</v>
          </cell>
        </row>
        <row r="1609">
          <cell r="C1609">
            <v>0</v>
          </cell>
          <cell r="D1609" t="str">
            <v>-</v>
          </cell>
          <cell r="E1609" t="str">
            <v>-</v>
          </cell>
          <cell r="F1609">
            <v>0</v>
          </cell>
          <cell r="G1609">
            <v>0</v>
          </cell>
          <cell r="H1609">
            <v>0</v>
          </cell>
          <cell r="I1609">
            <v>0</v>
          </cell>
        </row>
        <row r="1610">
          <cell r="C1610">
            <v>0</v>
          </cell>
          <cell r="D1610" t="str">
            <v>-</v>
          </cell>
          <cell r="E1610" t="str">
            <v>-</v>
          </cell>
          <cell r="F1610">
            <v>0</v>
          </cell>
          <cell r="G1610">
            <v>0</v>
          </cell>
          <cell r="H1610">
            <v>0</v>
          </cell>
          <cell r="I1610">
            <v>0</v>
          </cell>
        </row>
        <row r="1611">
          <cell r="C1611">
            <v>0</v>
          </cell>
          <cell r="D1611" t="str">
            <v>SUB TOTAL MANO DE OBRA</v>
          </cell>
          <cell r="E1611">
            <v>0</v>
          </cell>
          <cell r="F1611">
            <v>0</v>
          </cell>
          <cell r="G1611">
            <v>0</v>
          </cell>
          <cell r="H1611">
            <v>6300</v>
          </cell>
          <cell r="I1611">
            <v>0</v>
          </cell>
        </row>
        <row r="1612">
          <cell r="C1612">
            <v>0</v>
          </cell>
          <cell r="D1612" t="str">
            <v>C- EQUIPOS:</v>
          </cell>
          <cell r="E1612">
            <v>0</v>
          </cell>
          <cell r="F1612">
            <v>0</v>
          </cell>
          <cell r="G1612">
            <v>0</v>
          </cell>
          <cell r="H1612">
            <v>0</v>
          </cell>
          <cell r="I1612">
            <v>0</v>
          </cell>
        </row>
        <row r="1613">
          <cell r="C1613">
            <v>0</v>
          </cell>
          <cell r="D1613" t="str">
            <v>Herramientas de Mano</v>
          </cell>
          <cell r="E1613" t="str">
            <v>gl</v>
          </cell>
          <cell r="F1613">
            <v>279</v>
          </cell>
          <cell r="G1613">
            <v>1</v>
          </cell>
          <cell r="H1613">
            <v>279</v>
          </cell>
          <cell r="I1613">
            <v>0</v>
          </cell>
        </row>
        <row r="1614">
          <cell r="C1614">
            <v>0</v>
          </cell>
          <cell r="D1614" t="str">
            <v>-</v>
          </cell>
          <cell r="E1614" t="str">
            <v>-</v>
          </cell>
          <cell r="F1614">
            <v>0</v>
          </cell>
          <cell r="G1614">
            <v>0</v>
          </cell>
          <cell r="H1614">
            <v>0</v>
          </cell>
          <cell r="I1614">
            <v>0</v>
          </cell>
        </row>
        <row r="1615">
          <cell r="C1615">
            <v>0</v>
          </cell>
          <cell r="D1615" t="str">
            <v>-</v>
          </cell>
          <cell r="E1615" t="str">
            <v>-</v>
          </cell>
          <cell r="F1615">
            <v>0</v>
          </cell>
          <cell r="G1615">
            <v>0</v>
          </cell>
          <cell r="H1615">
            <v>0</v>
          </cell>
          <cell r="I1615">
            <v>0</v>
          </cell>
        </row>
        <row r="1616">
          <cell r="C1616">
            <v>0</v>
          </cell>
          <cell r="D1616" t="str">
            <v>-</v>
          </cell>
          <cell r="E1616" t="str">
            <v>-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</row>
        <row r="1617">
          <cell r="C1617">
            <v>0</v>
          </cell>
          <cell r="D1617" t="str">
            <v>-</v>
          </cell>
          <cell r="E1617" t="str">
            <v>-</v>
          </cell>
          <cell r="F1617">
            <v>0</v>
          </cell>
          <cell r="G1617">
            <v>0</v>
          </cell>
          <cell r="H1617">
            <v>0</v>
          </cell>
          <cell r="I1617">
            <v>0</v>
          </cell>
        </row>
        <row r="1618">
          <cell r="C1618">
            <v>0</v>
          </cell>
          <cell r="D1618" t="str">
            <v>SUB TOTAL EQUIPOS</v>
          </cell>
          <cell r="E1618">
            <v>0</v>
          </cell>
          <cell r="F1618">
            <v>0</v>
          </cell>
          <cell r="G1618">
            <v>0</v>
          </cell>
          <cell r="H1618">
            <v>279</v>
          </cell>
          <cell r="I1618">
            <v>0</v>
          </cell>
        </row>
        <row r="1619">
          <cell r="C1619">
            <v>0</v>
          </cell>
          <cell r="D1619">
            <v>0</v>
          </cell>
          <cell r="E1619">
            <v>0</v>
          </cell>
          <cell r="F1619">
            <v>0</v>
          </cell>
          <cell r="G1619">
            <v>0</v>
          </cell>
          <cell r="H1619">
            <v>0</v>
          </cell>
          <cell r="I1619">
            <v>0</v>
          </cell>
        </row>
        <row r="1620">
          <cell r="B1620">
            <v>30</v>
          </cell>
          <cell r="C1620">
            <v>0</v>
          </cell>
          <cell r="D1620" t="str">
            <v>COSTO-COSTO</v>
          </cell>
          <cell r="E1620">
            <v>0</v>
          </cell>
          <cell r="F1620">
            <v>0</v>
          </cell>
          <cell r="G1620">
            <v>0</v>
          </cell>
          <cell r="H1620">
            <v>9579</v>
          </cell>
          <cell r="I1620">
            <v>0</v>
          </cell>
        </row>
        <row r="1621">
          <cell r="C1621">
            <v>0</v>
          </cell>
          <cell r="D1621" t="str">
            <v>GASTO FINANCIERO</v>
          </cell>
          <cell r="E1621">
            <v>0</v>
          </cell>
          <cell r="F1621">
            <v>0</v>
          </cell>
          <cell r="G1621">
            <v>0.02</v>
          </cell>
          <cell r="H1621">
            <v>191.58</v>
          </cell>
          <cell r="I1621">
            <v>0</v>
          </cell>
        </row>
        <row r="1622">
          <cell r="C1622">
            <v>0</v>
          </cell>
          <cell r="D1622" t="str">
            <v>SUB TOTAL</v>
          </cell>
          <cell r="E1622">
            <v>0</v>
          </cell>
          <cell r="F1622">
            <v>0</v>
          </cell>
          <cell r="G1622">
            <v>0</v>
          </cell>
          <cell r="H1622">
            <v>9770.58</v>
          </cell>
          <cell r="I1622">
            <v>0</v>
          </cell>
        </row>
        <row r="1623">
          <cell r="C1623">
            <v>0</v>
          </cell>
          <cell r="D1623" t="str">
            <v>GASTOS GENERALES</v>
          </cell>
          <cell r="E1623">
            <v>0</v>
          </cell>
          <cell r="F1623">
            <v>0</v>
          </cell>
          <cell r="G1623">
            <v>0.35116211482007981</v>
          </cell>
          <cell r="H1623">
            <v>3431.0575358187752</v>
          </cell>
          <cell r="I1623">
            <v>0</v>
          </cell>
        </row>
        <row r="1624">
          <cell r="C1624">
            <v>0</v>
          </cell>
          <cell r="D1624" t="str">
            <v>BENEFICIO</v>
          </cell>
          <cell r="E1624">
            <v>0</v>
          </cell>
          <cell r="F1624">
            <v>0</v>
          </cell>
          <cell r="G1624">
            <v>0.1</v>
          </cell>
          <cell r="H1624">
            <v>977.05799999999999</v>
          </cell>
          <cell r="I1624">
            <v>0</v>
          </cell>
        </row>
        <row r="1625">
          <cell r="C1625">
            <v>0</v>
          </cell>
          <cell r="D1625" t="str">
            <v>COSTO TOTAL UNITARIO</v>
          </cell>
          <cell r="E1625">
            <v>0</v>
          </cell>
          <cell r="F1625">
            <v>0</v>
          </cell>
          <cell r="G1625">
            <v>0</v>
          </cell>
          <cell r="H1625">
            <v>14178.695535818777</v>
          </cell>
          <cell r="I1625">
            <v>0</v>
          </cell>
        </row>
        <row r="1626">
          <cell r="C1626">
            <v>0</v>
          </cell>
          <cell r="D1626" t="str">
            <v>IMPUETOS</v>
          </cell>
          <cell r="E1626">
            <v>0</v>
          </cell>
          <cell r="F1626" t="str">
            <v>IIBB</v>
          </cell>
          <cell r="G1626">
            <v>2.4E-2</v>
          </cell>
          <cell r="H1626">
            <v>340.28869285965067</v>
          </cell>
          <cell r="I1626">
            <v>0</v>
          </cell>
        </row>
        <row r="1627">
          <cell r="C1627">
            <v>0</v>
          </cell>
          <cell r="D1627">
            <v>0</v>
          </cell>
          <cell r="E1627">
            <v>0</v>
          </cell>
          <cell r="F1627" t="str">
            <v>IVA</v>
          </cell>
          <cell r="G1627">
            <v>0.21</v>
          </cell>
          <cell r="H1627">
            <v>2977.526062521943</v>
          </cell>
          <cell r="I1627">
            <v>0</v>
          </cell>
        </row>
        <row r="1628">
          <cell r="C1628">
            <v>0</v>
          </cell>
          <cell r="D1628">
            <v>0</v>
          </cell>
          <cell r="E1628">
            <v>0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</row>
        <row r="1629">
          <cell r="C1629">
            <v>0</v>
          </cell>
          <cell r="D1629" t="str">
            <v>PRECIO TOTAL UNITARIO</v>
          </cell>
          <cell r="E1629">
            <v>0</v>
          </cell>
          <cell r="F1629">
            <v>0</v>
          </cell>
          <cell r="G1629">
            <v>0</v>
          </cell>
          <cell r="H1629">
            <v>17496.510291200371</v>
          </cell>
          <cell r="I1629">
            <v>0</v>
          </cell>
        </row>
        <row r="1630">
          <cell r="C1630">
            <v>0</v>
          </cell>
          <cell r="D1630">
            <v>0</v>
          </cell>
          <cell r="E1630">
            <v>0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</row>
        <row r="1631">
          <cell r="C1631">
            <v>0</v>
          </cell>
          <cell r="D1631">
            <v>0</v>
          </cell>
          <cell r="E1631">
            <v>0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</row>
        <row r="1632">
          <cell r="C1632">
            <v>0</v>
          </cell>
          <cell r="D1632" t="str">
            <v>Rubro:</v>
          </cell>
          <cell r="E1632">
            <v>9</v>
          </cell>
          <cell r="F1632" t="str">
            <v>Instalaciones</v>
          </cell>
          <cell r="G1632" t="e">
            <v>#NAME?</v>
          </cell>
          <cell r="H1632" t="e">
            <v>#NAME?</v>
          </cell>
          <cell r="I1632">
            <v>0</v>
          </cell>
        </row>
        <row r="1633">
          <cell r="C1633">
            <v>0</v>
          </cell>
          <cell r="D1633" t="str">
            <v>Sub Rubro:</v>
          </cell>
          <cell r="E1633">
            <v>9.1</v>
          </cell>
          <cell r="F1633" t="str">
            <v>Instalación Eléctrica</v>
          </cell>
          <cell r="G1633" t="e">
            <v>#NAME?</v>
          </cell>
          <cell r="H1633" t="e">
            <v>#NAME?</v>
          </cell>
          <cell r="I1633">
            <v>0</v>
          </cell>
        </row>
        <row r="1634">
          <cell r="C1634">
            <v>0</v>
          </cell>
          <cell r="D1634" t="str">
            <v>Ítem:</v>
          </cell>
          <cell r="E1634">
            <v>9.1</v>
          </cell>
          <cell r="F1634" t="str">
            <v>Instalación Eléctrica</v>
          </cell>
          <cell r="G1634" t="e">
            <v>#NAME?</v>
          </cell>
          <cell r="H1634" t="e">
            <v>#NAME?</v>
          </cell>
          <cell r="I1634">
            <v>0</v>
          </cell>
        </row>
        <row r="1635">
          <cell r="C1635">
            <v>0</v>
          </cell>
          <cell r="D1635" t="str">
            <v>Unida:</v>
          </cell>
          <cell r="E1635" t="str">
            <v>gl</v>
          </cell>
          <cell r="F1635">
            <v>0</v>
          </cell>
          <cell r="G1635">
            <v>0</v>
          </cell>
          <cell r="H1635">
            <v>0</v>
          </cell>
          <cell r="I1635">
            <v>0</v>
          </cell>
        </row>
        <row r="1636">
          <cell r="C1636">
            <v>0</v>
          </cell>
          <cell r="D1636" t="str">
            <v>DENOMINACION</v>
          </cell>
          <cell r="E1636" t="str">
            <v>UNIDAD</v>
          </cell>
          <cell r="F1636" t="str">
            <v>COSTO UNITARIO</v>
          </cell>
          <cell r="G1636" t="str">
            <v>RENDIMIENTO POR UNIDAD</v>
          </cell>
          <cell r="H1636" t="str">
            <v>COSTO PARCIAL</v>
          </cell>
          <cell r="I1636">
            <v>0</v>
          </cell>
        </row>
        <row r="1637">
          <cell r="C1637">
            <v>0</v>
          </cell>
          <cell r="D1637" t="str">
            <v>A- MATERIALES:</v>
          </cell>
          <cell r="E1637">
            <v>0</v>
          </cell>
          <cell r="F1637">
            <v>0</v>
          </cell>
          <cell r="G1637">
            <v>0</v>
          </cell>
          <cell r="H1637">
            <v>0</v>
          </cell>
          <cell r="I1637">
            <v>0</v>
          </cell>
        </row>
        <row r="1638">
          <cell r="C1638">
            <v>0</v>
          </cell>
          <cell r="D1638" t="str">
            <v xml:space="preserve">Bastidor </v>
          </cell>
          <cell r="E1638" t="str">
            <v>Un</v>
          </cell>
          <cell r="F1638">
            <v>2.1834710743801651</v>
          </cell>
          <cell r="G1638">
            <v>53</v>
          </cell>
          <cell r="H1638">
            <v>115.72396694214875</v>
          </cell>
          <cell r="I1638">
            <v>0</v>
          </cell>
        </row>
        <row r="1639">
          <cell r="C1639">
            <v>0</v>
          </cell>
          <cell r="D1639" t="str">
            <v>Modulo de un punto</v>
          </cell>
          <cell r="E1639" t="str">
            <v>Un</v>
          </cell>
          <cell r="F1639">
            <v>4.8619834710743799</v>
          </cell>
          <cell r="G1639">
            <v>25</v>
          </cell>
          <cell r="H1639">
            <v>121.5495867768595</v>
          </cell>
          <cell r="I1639">
            <v>0</v>
          </cell>
        </row>
        <row r="1640">
          <cell r="C1640">
            <v>0</v>
          </cell>
          <cell r="D1640" t="str">
            <v>Modulo de toma</v>
          </cell>
          <cell r="E1640" t="str">
            <v>Un</v>
          </cell>
          <cell r="F1640">
            <v>4.1652892561983474</v>
          </cell>
          <cell r="G1640">
            <v>82</v>
          </cell>
          <cell r="H1640">
            <v>341.55371900826447</v>
          </cell>
          <cell r="I1640">
            <v>0</v>
          </cell>
        </row>
        <row r="1641">
          <cell r="C1641">
            <v>0</v>
          </cell>
          <cell r="D1641" t="str">
            <v>Modulo ciego</v>
          </cell>
          <cell r="E1641" t="str">
            <v>Un</v>
          </cell>
          <cell r="F1641">
            <v>1.2314049586776861</v>
          </cell>
          <cell r="G1641">
            <v>104</v>
          </cell>
          <cell r="H1641">
            <v>128.06611570247935</v>
          </cell>
          <cell r="I1641">
            <v>0</v>
          </cell>
        </row>
        <row r="1642">
          <cell r="C1642">
            <v>0</v>
          </cell>
          <cell r="D1642" t="str">
            <v>Modulo 20A</v>
          </cell>
          <cell r="E1642" t="str">
            <v>un</v>
          </cell>
          <cell r="F1642">
            <v>0</v>
          </cell>
          <cell r="G1642">
            <v>8</v>
          </cell>
          <cell r="H1642">
            <v>0</v>
          </cell>
          <cell r="I1642">
            <v>0</v>
          </cell>
        </row>
        <row r="1643">
          <cell r="C1643">
            <v>0</v>
          </cell>
          <cell r="D1643" t="str">
            <v>Modulo rj11</v>
          </cell>
          <cell r="E1643" t="str">
            <v>un</v>
          </cell>
          <cell r="F1643">
            <v>18.07</v>
          </cell>
          <cell r="G1643">
            <v>11</v>
          </cell>
          <cell r="H1643">
            <v>198.77</v>
          </cell>
          <cell r="I1643">
            <v>0</v>
          </cell>
        </row>
        <row r="1644">
          <cell r="C1644">
            <v>0</v>
          </cell>
          <cell r="D1644" t="str">
            <v>Modulo rj45</v>
          </cell>
          <cell r="E1644" t="str">
            <v>un</v>
          </cell>
          <cell r="F1644">
            <v>90.43</v>
          </cell>
          <cell r="G1644">
            <v>11</v>
          </cell>
          <cell r="H1644">
            <v>994.73</v>
          </cell>
          <cell r="I1644">
            <v>0</v>
          </cell>
        </row>
        <row r="1645">
          <cell r="C1645">
            <v>0</v>
          </cell>
          <cell r="D1645" t="str">
            <v>cable utp cat6</v>
          </cell>
          <cell r="E1645" t="str">
            <v>mt</v>
          </cell>
          <cell r="F1645">
            <v>8.73</v>
          </cell>
          <cell r="G1645">
            <v>220</v>
          </cell>
          <cell r="H1645">
            <v>1920.6000000000001</v>
          </cell>
          <cell r="I1645">
            <v>0</v>
          </cell>
        </row>
        <row r="1646">
          <cell r="C1646">
            <v>0</v>
          </cell>
          <cell r="D1646" t="str">
            <v>cable 2 pares</v>
          </cell>
          <cell r="E1646" t="str">
            <v>mt</v>
          </cell>
          <cell r="F1646">
            <v>2.85</v>
          </cell>
          <cell r="G1646">
            <v>100</v>
          </cell>
          <cell r="H1646">
            <v>285</v>
          </cell>
          <cell r="I1646">
            <v>0</v>
          </cell>
        </row>
        <row r="1647">
          <cell r="C1647">
            <v>0</v>
          </cell>
          <cell r="D1647" t="str">
            <v>bandeja portacable 300x50</v>
          </cell>
          <cell r="E1647" t="str">
            <v>mt</v>
          </cell>
          <cell r="F1647">
            <v>78.19</v>
          </cell>
          <cell r="G1647">
            <v>45</v>
          </cell>
          <cell r="H1647">
            <v>3518.5499999999997</v>
          </cell>
          <cell r="I1647">
            <v>0</v>
          </cell>
        </row>
        <row r="1648">
          <cell r="C1648">
            <v>0</v>
          </cell>
          <cell r="D1648" t="str">
            <v>tapa para bandeja 300</v>
          </cell>
          <cell r="E1648" t="str">
            <v>mt</v>
          </cell>
          <cell r="F1648">
            <v>59.11</v>
          </cell>
          <cell r="G1648">
            <v>45</v>
          </cell>
          <cell r="H1648">
            <v>2659.95</v>
          </cell>
          <cell r="I1648">
            <v>0</v>
          </cell>
        </row>
        <row r="1649">
          <cell r="C1649">
            <v>0</v>
          </cell>
          <cell r="D1649" t="str">
            <v>derivacion t p/bandeja 300x50</v>
          </cell>
          <cell r="E1649" t="str">
            <v>un</v>
          </cell>
          <cell r="F1649">
            <v>51.37</v>
          </cell>
          <cell r="G1649">
            <v>3</v>
          </cell>
          <cell r="H1649">
            <v>154.10999999999999</v>
          </cell>
          <cell r="I1649">
            <v>0</v>
          </cell>
        </row>
        <row r="1650">
          <cell r="C1650">
            <v>0</v>
          </cell>
          <cell r="D1650" t="str">
            <v>caja estanca de aluminio 10x10x10</v>
          </cell>
          <cell r="E1650" t="str">
            <v>un</v>
          </cell>
          <cell r="F1650">
            <v>51.18</v>
          </cell>
          <cell r="G1650">
            <v>9</v>
          </cell>
          <cell r="H1650">
            <v>460.62</v>
          </cell>
          <cell r="I1650">
            <v>0</v>
          </cell>
        </row>
        <row r="1651">
          <cell r="C1651">
            <v>0</v>
          </cell>
          <cell r="D1651" t="str">
            <v>Caño metálico pesado Ø 18,6 mm</v>
          </cell>
          <cell r="E1651" t="str">
            <v>Mt</v>
          </cell>
          <cell r="F1651">
            <v>7.446280991735537</v>
          </cell>
          <cell r="G1651">
            <v>70</v>
          </cell>
          <cell r="H1651">
            <v>521.23966942148763</v>
          </cell>
          <cell r="I1651">
            <v>0</v>
          </cell>
        </row>
        <row r="1652">
          <cell r="C1652">
            <v>0</v>
          </cell>
          <cell r="D1652" t="str">
            <v>Curva metálica pesada Ø 18,6 mm</v>
          </cell>
          <cell r="E1652" t="str">
            <v>Un</v>
          </cell>
          <cell r="F1652">
            <v>4.6776859504132231</v>
          </cell>
          <cell r="G1652">
            <v>25</v>
          </cell>
          <cell r="H1652">
            <v>116.94214876033058</v>
          </cell>
          <cell r="I1652">
            <v>0</v>
          </cell>
        </row>
        <row r="1653">
          <cell r="C1653">
            <v>0</v>
          </cell>
          <cell r="D1653" t="str">
            <v>Conector metálico Ø 18,6 mm</v>
          </cell>
          <cell r="E1653" t="str">
            <v>Un</v>
          </cell>
          <cell r="F1653">
            <v>1.8429752066115703</v>
          </cell>
          <cell r="G1653">
            <v>50</v>
          </cell>
          <cell r="H1653">
            <v>92.148760330578511</v>
          </cell>
          <cell r="I1653">
            <v>0</v>
          </cell>
        </row>
        <row r="1654">
          <cell r="C1654">
            <v>0</v>
          </cell>
          <cell r="D1654" t="str">
            <v>Cupla metálica Ø 18,6 mm</v>
          </cell>
          <cell r="E1654" t="str">
            <v>Un</v>
          </cell>
          <cell r="F1654">
            <v>0.84297520661157033</v>
          </cell>
          <cell r="G1654">
            <v>60</v>
          </cell>
          <cell r="H1654">
            <v>50.578512396694222</v>
          </cell>
          <cell r="I1654">
            <v>0</v>
          </cell>
        </row>
        <row r="1655">
          <cell r="C1655">
            <v>0</v>
          </cell>
          <cell r="D1655" t="str">
            <v>Cable protodur 3 x 2,5</v>
          </cell>
          <cell r="E1655" t="str">
            <v>Mt</v>
          </cell>
          <cell r="F1655">
            <v>12.801652892561984</v>
          </cell>
          <cell r="G1655">
            <v>250</v>
          </cell>
          <cell r="H1655">
            <v>3200.413223140496</v>
          </cell>
          <cell r="I1655">
            <v>0</v>
          </cell>
        </row>
        <row r="1656">
          <cell r="C1656">
            <v>0</v>
          </cell>
          <cell r="D1656">
            <v>0</v>
          </cell>
          <cell r="E1656" t="str">
            <v>-</v>
          </cell>
          <cell r="F1656">
            <v>0</v>
          </cell>
          <cell r="G1656">
            <v>0</v>
          </cell>
          <cell r="H1656">
            <v>0</v>
          </cell>
          <cell r="I1656">
            <v>0</v>
          </cell>
        </row>
        <row r="1657">
          <cell r="C1657">
            <v>0</v>
          </cell>
          <cell r="D1657">
            <v>0</v>
          </cell>
          <cell r="E1657" t="str">
            <v>-</v>
          </cell>
          <cell r="F1657">
            <v>0</v>
          </cell>
          <cell r="G1657">
            <v>0</v>
          </cell>
          <cell r="H1657">
            <v>0</v>
          </cell>
          <cell r="I1657">
            <v>0</v>
          </cell>
        </row>
        <row r="1658">
          <cell r="C1658">
            <v>0</v>
          </cell>
          <cell r="D1658" t="str">
            <v>SUB TOTAL MATERIALES</v>
          </cell>
          <cell r="E1658">
            <v>0</v>
          </cell>
          <cell r="F1658">
            <v>0</v>
          </cell>
          <cell r="G1658">
            <v>0</v>
          </cell>
          <cell r="H1658">
            <v>14880.545702479341</v>
          </cell>
          <cell r="I1658">
            <v>0</v>
          </cell>
        </row>
        <row r="1659">
          <cell r="C1659">
            <v>0</v>
          </cell>
          <cell r="D1659" t="str">
            <v>B- MANO DE OBRA:</v>
          </cell>
          <cell r="E1659">
            <v>0</v>
          </cell>
          <cell r="F1659">
            <v>0</v>
          </cell>
          <cell r="G1659">
            <v>0</v>
          </cell>
          <cell r="H1659">
            <v>0</v>
          </cell>
          <cell r="I1659">
            <v>0</v>
          </cell>
        </row>
        <row r="1660">
          <cell r="C1660">
            <v>0</v>
          </cell>
          <cell r="D1660" t="str">
            <v>Oficial</v>
          </cell>
          <cell r="E1660" t="str">
            <v>hs</v>
          </cell>
          <cell r="F1660">
            <v>56.619016000000002</v>
          </cell>
          <cell r="G1660">
            <v>120</v>
          </cell>
          <cell r="H1660">
            <v>6794.2819200000004</v>
          </cell>
          <cell r="I1660">
            <v>0</v>
          </cell>
        </row>
        <row r="1661">
          <cell r="C1661">
            <v>0</v>
          </cell>
          <cell r="D1661" t="str">
            <v>Ayudante</v>
          </cell>
          <cell r="E1661" t="str">
            <v>hs</v>
          </cell>
          <cell r="F1661">
            <v>48.396512000000008</v>
          </cell>
          <cell r="G1661">
            <v>68</v>
          </cell>
          <cell r="H1661">
            <v>3290.9628160000007</v>
          </cell>
          <cell r="I1661">
            <v>0</v>
          </cell>
        </row>
        <row r="1662">
          <cell r="C1662">
            <v>0</v>
          </cell>
          <cell r="D1662" t="str">
            <v>-</v>
          </cell>
          <cell r="E1662" t="str">
            <v>-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</row>
        <row r="1663">
          <cell r="C1663">
            <v>0</v>
          </cell>
          <cell r="D1663" t="str">
            <v>-</v>
          </cell>
          <cell r="E1663" t="str">
            <v>-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</row>
        <row r="1664">
          <cell r="C1664">
            <v>0</v>
          </cell>
          <cell r="D1664" t="str">
            <v>-</v>
          </cell>
          <cell r="E1664" t="str">
            <v>-</v>
          </cell>
          <cell r="F1664">
            <v>0</v>
          </cell>
          <cell r="G1664">
            <v>0</v>
          </cell>
          <cell r="H1664">
            <v>0</v>
          </cell>
          <cell r="I1664">
            <v>0</v>
          </cell>
        </row>
        <row r="1665">
          <cell r="C1665">
            <v>0</v>
          </cell>
          <cell r="D1665" t="str">
            <v>SUB TOTAL MANO DE OBRA</v>
          </cell>
          <cell r="E1665">
            <v>0</v>
          </cell>
          <cell r="F1665">
            <v>0</v>
          </cell>
          <cell r="G1665">
            <v>0</v>
          </cell>
          <cell r="H1665">
            <v>10085.244736000001</v>
          </cell>
          <cell r="I1665">
            <v>0</v>
          </cell>
        </row>
        <row r="1666">
          <cell r="C1666">
            <v>0</v>
          </cell>
          <cell r="D1666" t="str">
            <v>C- EQUIPOS:</v>
          </cell>
          <cell r="E1666">
            <v>0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</row>
        <row r="1667">
          <cell r="C1667">
            <v>0</v>
          </cell>
          <cell r="D1667" t="str">
            <v>Herramientas de Mano</v>
          </cell>
          <cell r="E1667" t="str">
            <v>gl</v>
          </cell>
          <cell r="F1667">
            <v>748.97371315438033</v>
          </cell>
          <cell r="G1667">
            <v>1</v>
          </cell>
          <cell r="H1667">
            <v>748.97371315438033</v>
          </cell>
          <cell r="I1667">
            <v>0</v>
          </cell>
        </row>
        <row r="1668">
          <cell r="C1668">
            <v>0</v>
          </cell>
          <cell r="D1668" t="str">
            <v>-</v>
          </cell>
          <cell r="E1668" t="str">
            <v>-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</row>
        <row r="1669">
          <cell r="C1669">
            <v>0</v>
          </cell>
          <cell r="D1669" t="str">
            <v>-</v>
          </cell>
          <cell r="E1669" t="str">
            <v>-</v>
          </cell>
          <cell r="F1669">
            <v>0</v>
          </cell>
          <cell r="G1669">
            <v>0</v>
          </cell>
          <cell r="H1669">
            <v>0</v>
          </cell>
          <cell r="I1669">
            <v>0</v>
          </cell>
        </row>
        <row r="1670">
          <cell r="C1670">
            <v>0</v>
          </cell>
          <cell r="D1670" t="str">
            <v>-</v>
          </cell>
          <cell r="E1670" t="str">
            <v>-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</row>
        <row r="1671">
          <cell r="C1671">
            <v>0</v>
          </cell>
          <cell r="D1671" t="str">
            <v>-</v>
          </cell>
          <cell r="E1671" t="str">
            <v>-</v>
          </cell>
          <cell r="F1671">
            <v>0</v>
          </cell>
          <cell r="G1671">
            <v>0</v>
          </cell>
          <cell r="H1671">
            <v>0</v>
          </cell>
          <cell r="I1671">
            <v>0</v>
          </cell>
        </row>
        <row r="1672">
          <cell r="C1672">
            <v>0</v>
          </cell>
          <cell r="D1672" t="str">
            <v>SUB TOTAL EQUIPOS</v>
          </cell>
          <cell r="E1672">
            <v>0</v>
          </cell>
          <cell r="F1672">
            <v>0</v>
          </cell>
          <cell r="G1672">
            <v>0</v>
          </cell>
          <cell r="H1672">
            <v>748.97371315438033</v>
          </cell>
          <cell r="I1672">
            <v>0</v>
          </cell>
        </row>
        <row r="1673">
          <cell r="C1673">
            <v>0</v>
          </cell>
          <cell r="D1673">
            <v>0</v>
          </cell>
          <cell r="E1673">
            <v>0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</row>
        <row r="1674">
          <cell r="B1674">
            <v>31</v>
          </cell>
          <cell r="C1674">
            <v>0</v>
          </cell>
          <cell r="D1674" t="str">
            <v>COSTO-COSTO</v>
          </cell>
          <cell r="E1674">
            <v>0</v>
          </cell>
          <cell r="F1674">
            <v>0</v>
          </cell>
          <cell r="G1674">
            <v>0</v>
          </cell>
          <cell r="H1674">
            <v>25714.764151633724</v>
          </cell>
          <cell r="I1674">
            <v>0</v>
          </cell>
        </row>
        <row r="1675">
          <cell r="C1675">
            <v>0</v>
          </cell>
          <cell r="D1675" t="str">
            <v>GASTO FINANCIERO</v>
          </cell>
          <cell r="E1675">
            <v>0</v>
          </cell>
          <cell r="F1675">
            <v>0</v>
          </cell>
          <cell r="G1675">
            <v>0.02</v>
          </cell>
          <cell r="H1675">
            <v>514.29528303267455</v>
          </cell>
          <cell r="I1675">
            <v>0</v>
          </cell>
        </row>
        <row r="1676">
          <cell r="C1676">
            <v>0</v>
          </cell>
          <cell r="D1676" t="str">
            <v>SUB TOTAL</v>
          </cell>
          <cell r="E1676">
            <v>0</v>
          </cell>
          <cell r="F1676">
            <v>0</v>
          </cell>
          <cell r="G1676">
            <v>0</v>
          </cell>
          <cell r="H1676">
            <v>26229.0594346664</v>
          </cell>
          <cell r="I1676">
            <v>0</v>
          </cell>
        </row>
        <row r="1677">
          <cell r="C1677">
            <v>0</v>
          </cell>
          <cell r="D1677" t="str">
            <v>GASTOS GENERALES</v>
          </cell>
          <cell r="E1677">
            <v>0</v>
          </cell>
          <cell r="F1677">
            <v>0</v>
          </cell>
          <cell r="G1677">
            <v>0.35116211482007981</v>
          </cell>
          <cell r="H1677">
            <v>9210.6519808190205</v>
          </cell>
          <cell r="I1677">
            <v>0</v>
          </cell>
        </row>
        <row r="1678">
          <cell r="C1678">
            <v>0</v>
          </cell>
          <cell r="D1678" t="str">
            <v>BENEFICIO</v>
          </cell>
          <cell r="E1678">
            <v>0</v>
          </cell>
          <cell r="F1678">
            <v>0</v>
          </cell>
          <cell r="G1678">
            <v>0.1</v>
          </cell>
          <cell r="H1678">
            <v>2622.9059434666401</v>
          </cell>
          <cell r="I1678">
            <v>0</v>
          </cell>
        </row>
        <row r="1679">
          <cell r="C1679">
            <v>0</v>
          </cell>
          <cell r="D1679" t="str">
            <v>COSTO TOTAL UNITARIO</v>
          </cell>
          <cell r="E1679">
            <v>0</v>
          </cell>
          <cell r="F1679">
            <v>0</v>
          </cell>
          <cell r="G1679">
            <v>0</v>
          </cell>
          <cell r="H1679">
            <v>38062.617358952062</v>
          </cell>
          <cell r="I1679">
            <v>0</v>
          </cell>
        </row>
        <row r="1680">
          <cell r="C1680">
            <v>0</v>
          </cell>
          <cell r="D1680" t="str">
            <v>IMPUETOS</v>
          </cell>
          <cell r="E1680">
            <v>0</v>
          </cell>
          <cell r="F1680" t="str">
            <v>IIBB</v>
          </cell>
          <cell r="G1680">
            <v>2.4E-2</v>
          </cell>
          <cell r="H1680">
            <v>913.50281661484951</v>
          </cell>
          <cell r="I1680">
            <v>0</v>
          </cell>
        </row>
        <row r="1681">
          <cell r="C1681">
            <v>0</v>
          </cell>
          <cell r="D1681">
            <v>0</v>
          </cell>
          <cell r="E1681">
            <v>0</v>
          </cell>
          <cell r="F1681" t="str">
            <v>IVA</v>
          </cell>
          <cell r="G1681">
            <v>0.21</v>
          </cell>
          <cell r="H1681">
            <v>7993.1496453799327</v>
          </cell>
          <cell r="I1681">
            <v>0</v>
          </cell>
        </row>
        <row r="1682">
          <cell r="C1682">
            <v>0</v>
          </cell>
          <cell r="D1682">
            <v>0</v>
          </cell>
          <cell r="E1682">
            <v>0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</row>
        <row r="1683">
          <cell r="C1683">
            <v>0</v>
          </cell>
          <cell r="D1683" t="str">
            <v>PRECIO TOTAL UNITARIO</v>
          </cell>
          <cell r="E1683">
            <v>0</v>
          </cell>
          <cell r="F1683">
            <v>0</v>
          </cell>
          <cell r="G1683">
            <v>0</v>
          </cell>
          <cell r="H1683">
            <v>46969.269820946844</v>
          </cell>
          <cell r="I1683">
            <v>0</v>
          </cell>
        </row>
        <row r="1684">
          <cell r="C1684">
            <v>0</v>
          </cell>
          <cell r="D1684">
            <v>0</v>
          </cell>
          <cell r="E1684">
            <v>0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</row>
        <row r="1685">
          <cell r="C1685">
            <v>0</v>
          </cell>
          <cell r="D1685">
            <v>0</v>
          </cell>
          <cell r="E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</row>
        <row r="1686">
          <cell r="C1686">
            <v>0</v>
          </cell>
          <cell r="D1686" t="str">
            <v>Rubro:</v>
          </cell>
          <cell r="E1686">
            <v>9</v>
          </cell>
          <cell r="F1686" t="str">
            <v>Instalaciones</v>
          </cell>
          <cell r="G1686" t="e">
            <v>#NAME?</v>
          </cell>
          <cell r="H1686" t="e">
            <v>#NAME?</v>
          </cell>
          <cell r="I1686">
            <v>0</v>
          </cell>
        </row>
        <row r="1687">
          <cell r="C1687">
            <v>0</v>
          </cell>
          <cell r="D1687" t="str">
            <v>Sub Rubro:</v>
          </cell>
          <cell r="E1687">
            <v>9.1999999999999993</v>
          </cell>
          <cell r="F1687" t="str">
            <v>Instalación Datos</v>
          </cell>
          <cell r="G1687" t="e">
            <v>#NAME?</v>
          </cell>
          <cell r="H1687" t="e">
            <v>#NAME?</v>
          </cell>
          <cell r="I1687">
            <v>0</v>
          </cell>
        </row>
        <row r="1688">
          <cell r="C1688">
            <v>0</v>
          </cell>
          <cell r="D1688" t="str">
            <v>Ítem:</v>
          </cell>
          <cell r="E1688">
            <v>9.1999999999999993</v>
          </cell>
          <cell r="F1688" t="str">
            <v>Instalación Datos</v>
          </cell>
          <cell r="G1688" t="e">
            <v>#NAME?</v>
          </cell>
          <cell r="H1688" t="e">
            <v>#NAME?</v>
          </cell>
          <cell r="I1688">
            <v>0</v>
          </cell>
        </row>
        <row r="1689">
          <cell r="C1689">
            <v>0</v>
          </cell>
          <cell r="D1689" t="str">
            <v>Unida:</v>
          </cell>
          <cell r="E1689" t="str">
            <v>gl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</row>
        <row r="1690">
          <cell r="C1690">
            <v>0</v>
          </cell>
          <cell r="D1690" t="str">
            <v>DENOMINACION</v>
          </cell>
          <cell r="E1690" t="str">
            <v>UNIDAD</v>
          </cell>
          <cell r="F1690" t="str">
            <v>COSTO UNITARIO</v>
          </cell>
          <cell r="G1690" t="str">
            <v>RENDIMIENTO POR UNIDAD</v>
          </cell>
          <cell r="H1690" t="str">
            <v>COSTO PARCIAL</v>
          </cell>
          <cell r="I1690">
            <v>0</v>
          </cell>
        </row>
        <row r="1691">
          <cell r="C1691">
            <v>0</v>
          </cell>
          <cell r="D1691" t="str">
            <v>A- MATERIALES:</v>
          </cell>
          <cell r="E1691">
            <v>0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</row>
        <row r="1692">
          <cell r="C1692">
            <v>0</v>
          </cell>
          <cell r="D1692" t="str">
            <v>Interruptor termomagnetico tetrapolar 40 A</v>
          </cell>
          <cell r="E1692" t="str">
            <v>Un</v>
          </cell>
          <cell r="F1692">
            <v>89.677685950413235</v>
          </cell>
          <cell r="G1692">
            <v>1</v>
          </cell>
          <cell r="H1692">
            <v>89.677685950413235</v>
          </cell>
          <cell r="I1692">
            <v>0</v>
          </cell>
        </row>
        <row r="1693">
          <cell r="C1693">
            <v>0</v>
          </cell>
          <cell r="D1693" t="str">
            <v>Interruptor termomagnetico bipolar 16 A</v>
          </cell>
          <cell r="E1693" t="str">
            <v>Un</v>
          </cell>
          <cell r="F1693">
            <v>35.966942148760332</v>
          </cell>
          <cell r="G1693">
            <v>15</v>
          </cell>
          <cell r="H1693">
            <v>539.50413223140492</v>
          </cell>
          <cell r="I1693">
            <v>0</v>
          </cell>
        </row>
        <row r="1694">
          <cell r="C1694">
            <v>0</v>
          </cell>
          <cell r="D1694" t="str">
            <v>Interruptor diferencial tetrapolar 40 A; 30mA</v>
          </cell>
          <cell r="E1694" t="str">
            <v>Un</v>
          </cell>
          <cell r="F1694">
            <v>276.05785123966939</v>
          </cell>
          <cell r="G1694">
            <v>1</v>
          </cell>
          <cell r="H1694">
            <v>276.05785123966939</v>
          </cell>
          <cell r="I1694">
            <v>0</v>
          </cell>
        </row>
        <row r="1695">
          <cell r="C1695">
            <v>0</v>
          </cell>
          <cell r="D1695" t="str">
            <v>Gabinete estanco 60 modulos</v>
          </cell>
          <cell r="E1695" t="str">
            <v>Un</v>
          </cell>
          <cell r="F1695">
            <v>1017.65</v>
          </cell>
          <cell r="G1695">
            <v>1</v>
          </cell>
          <cell r="H1695">
            <v>1017.65</v>
          </cell>
          <cell r="I1695">
            <v>0</v>
          </cell>
        </row>
        <row r="1696">
          <cell r="C1696">
            <v>0</v>
          </cell>
          <cell r="D1696" t="str">
            <v>Cable unipolar 2,5 mm² marrón</v>
          </cell>
          <cell r="E1696" t="str">
            <v>Mt</v>
          </cell>
          <cell r="F1696">
            <v>2.8123966942148759</v>
          </cell>
          <cell r="G1696">
            <v>900</v>
          </cell>
          <cell r="H1696">
            <v>2531.1570247933882</v>
          </cell>
          <cell r="I1696">
            <v>0</v>
          </cell>
        </row>
        <row r="1697">
          <cell r="C1697">
            <v>0</v>
          </cell>
          <cell r="D1697" t="str">
            <v>Panel led luimenac 45/830</v>
          </cell>
          <cell r="E1697" t="str">
            <v>un</v>
          </cell>
          <cell r="F1697">
            <v>2926.77</v>
          </cell>
          <cell r="G1697">
            <v>16</v>
          </cell>
          <cell r="H1697">
            <v>46828.32</v>
          </cell>
          <cell r="I1697">
            <v>0</v>
          </cell>
        </row>
        <row r="1698">
          <cell r="C1698">
            <v>0</v>
          </cell>
          <cell r="D1698" t="str">
            <v>Lumenac Circus 12/830</v>
          </cell>
          <cell r="E1698" t="str">
            <v>un</v>
          </cell>
          <cell r="F1698">
            <v>649.38</v>
          </cell>
          <cell r="G1698">
            <v>8</v>
          </cell>
          <cell r="H1698">
            <v>5195.04</v>
          </cell>
          <cell r="I1698">
            <v>0</v>
          </cell>
        </row>
        <row r="1699">
          <cell r="C1699">
            <v>0</v>
          </cell>
          <cell r="D1699" t="str">
            <v>Artefacto para tubos fluorescentes 2 x 36 w</v>
          </cell>
          <cell r="E1699" t="str">
            <v>Un</v>
          </cell>
          <cell r="F1699">
            <v>222.1</v>
          </cell>
          <cell r="G1699">
            <v>10</v>
          </cell>
          <cell r="H1699">
            <v>2221</v>
          </cell>
          <cell r="I1699">
            <v>0</v>
          </cell>
        </row>
        <row r="1700">
          <cell r="C1700">
            <v>0</v>
          </cell>
          <cell r="D1700">
            <v>0</v>
          </cell>
          <cell r="E1700" t="str">
            <v>-</v>
          </cell>
          <cell r="F1700">
            <v>0</v>
          </cell>
          <cell r="G1700">
            <v>0</v>
          </cell>
          <cell r="H1700">
            <v>0</v>
          </cell>
          <cell r="I1700">
            <v>0</v>
          </cell>
        </row>
        <row r="1701">
          <cell r="C1701">
            <v>0</v>
          </cell>
          <cell r="D1701">
            <v>0</v>
          </cell>
          <cell r="E1701" t="str">
            <v>-</v>
          </cell>
          <cell r="F1701">
            <v>0</v>
          </cell>
          <cell r="G1701">
            <v>0</v>
          </cell>
          <cell r="H1701">
            <v>0</v>
          </cell>
          <cell r="I1701">
            <v>0</v>
          </cell>
        </row>
        <row r="1702">
          <cell r="C1702">
            <v>0</v>
          </cell>
          <cell r="D1702">
            <v>0</v>
          </cell>
          <cell r="E1702" t="str">
            <v>-</v>
          </cell>
          <cell r="F1702">
            <v>0</v>
          </cell>
          <cell r="G1702">
            <v>0</v>
          </cell>
          <cell r="H1702">
            <v>0</v>
          </cell>
          <cell r="I1702">
            <v>0</v>
          </cell>
        </row>
        <row r="1703">
          <cell r="C1703">
            <v>0</v>
          </cell>
          <cell r="D1703">
            <v>0</v>
          </cell>
          <cell r="E1703" t="str">
            <v>-</v>
          </cell>
          <cell r="F1703">
            <v>0</v>
          </cell>
          <cell r="G1703">
            <v>0</v>
          </cell>
          <cell r="H1703">
            <v>0</v>
          </cell>
          <cell r="I1703">
            <v>0</v>
          </cell>
        </row>
        <row r="1704">
          <cell r="C1704">
            <v>0</v>
          </cell>
          <cell r="D1704">
            <v>0</v>
          </cell>
          <cell r="E1704" t="str">
            <v>-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</row>
        <row r="1705">
          <cell r="C1705">
            <v>0</v>
          </cell>
          <cell r="D1705">
            <v>0</v>
          </cell>
          <cell r="E1705" t="str">
            <v>-</v>
          </cell>
          <cell r="F1705">
            <v>0</v>
          </cell>
          <cell r="G1705">
            <v>0</v>
          </cell>
          <cell r="H1705">
            <v>0</v>
          </cell>
          <cell r="I1705">
            <v>0</v>
          </cell>
        </row>
        <row r="1706">
          <cell r="C1706">
            <v>0</v>
          </cell>
          <cell r="D1706">
            <v>0</v>
          </cell>
          <cell r="E1706" t="str">
            <v>-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</row>
        <row r="1707">
          <cell r="C1707">
            <v>0</v>
          </cell>
          <cell r="D1707">
            <v>0</v>
          </cell>
          <cell r="E1707" t="str">
            <v>-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</row>
        <row r="1708">
          <cell r="C1708">
            <v>0</v>
          </cell>
          <cell r="D1708">
            <v>0</v>
          </cell>
          <cell r="E1708" t="str">
            <v>-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</row>
        <row r="1709">
          <cell r="C1709">
            <v>0</v>
          </cell>
          <cell r="D1709">
            <v>0</v>
          </cell>
          <cell r="E1709" t="str">
            <v>-</v>
          </cell>
          <cell r="F1709">
            <v>0</v>
          </cell>
          <cell r="G1709">
            <v>0</v>
          </cell>
          <cell r="H1709">
            <v>0</v>
          </cell>
          <cell r="I1709">
            <v>0</v>
          </cell>
        </row>
        <row r="1710">
          <cell r="C1710">
            <v>0</v>
          </cell>
          <cell r="D1710">
            <v>0</v>
          </cell>
          <cell r="E1710" t="str">
            <v>-</v>
          </cell>
          <cell r="F1710">
            <v>0</v>
          </cell>
          <cell r="G1710">
            <v>0</v>
          </cell>
          <cell r="H1710">
            <v>0</v>
          </cell>
          <cell r="I1710">
            <v>0</v>
          </cell>
        </row>
        <row r="1711">
          <cell r="C1711">
            <v>0</v>
          </cell>
          <cell r="D1711">
            <v>0</v>
          </cell>
          <cell r="E1711" t="str">
            <v>-</v>
          </cell>
          <cell r="F1711">
            <v>0</v>
          </cell>
          <cell r="G1711">
            <v>0</v>
          </cell>
          <cell r="H1711">
            <v>0</v>
          </cell>
          <cell r="I1711">
            <v>0</v>
          </cell>
        </row>
        <row r="1712">
          <cell r="C1712">
            <v>0</v>
          </cell>
          <cell r="D1712" t="str">
            <v>SUB TOTAL MATERIALES</v>
          </cell>
          <cell r="E1712">
            <v>0</v>
          </cell>
          <cell r="F1712">
            <v>0</v>
          </cell>
          <cell r="G1712">
            <v>0</v>
          </cell>
          <cell r="H1712">
            <v>58698.406694214878</v>
          </cell>
          <cell r="I1712">
            <v>0</v>
          </cell>
        </row>
        <row r="1713">
          <cell r="C1713">
            <v>0</v>
          </cell>
          <cell r="D1713" t="str">
            <v>B- MANO DE OBRA:</v>
          </cell>
          <cell r="E1713">
            <v>0</v>
          </cell>
          <cell r="F1713">
            <v>0</v>
          </cell>
          <cell r="G1713">
            <v>0</v>
          </cell>
          <cell r="H1713">
            <v>0</v>
          </cell>
          <cell r="I1713">
            <v>0</v>
          </cell>
        </row>
        <row r="1714">
          <cell r="C1714">
            <v>0</v>
          </cell>
          <cell r="D1714" t="str">
            <v>Oficial</v>
          </cell>
          <cell r="E1714" t="str">
            <v>hs</v>
          </cell>
          <cell r="F1714">
            <v>56.619016000000002</v>
          </cell>
          <cell r="G1714">
            <v>50</v>
          </cell>
          <cell r="H1714">
            <v>2830.9508000000001</v>
          </cell>
          <cell r="I1714">
            <v>0</v>
          </cell>
        </row>
        <row r="1715">
          <cell r="C1715">
            <v>0</v>
          </cell>
          <cell r="D1715" t="str">
            <v>Ayudante</v>
          </cell>
          <cell r="E1715" t="str">
            <v>hs</v>
          </cell>
          <cell r="F1715">
            <v>48.396512000000008</v>
          </cell>
          <cell r="G1715">
            <v>0</v>
          </cell>
          <cell r="H1715">
            <v>0</v>
          </cell>
          <cell r="I1715">
            <v>0</v>
          </cell>
        </row>
        <row r="1716">
          <cell r="C1716">
            <v>0</v>
          </cell>
          <cell r="D1716" t="str">
            <v>-</v>
          </cell>
          <cell r="E1716" t="str">
            <v>-</v>
          </cell>
          <cell r="F1716">
            <v>0</v>
          </cell>
          <cell r="G1716">
            <v>0</v>
          </cell>
          <cell r="H1716">
            <v>0</v>
          </cell>
          <cell r="I1716">
            <v>0</v>
          </cell>
        </row>
        <row r="1717">
          <cell r="C1717">
            <v>0</v>
          </cell>
          <cell r="D1717" t="str">
            <v>-</v>
          </cell>
          <cell r="E1717" t="str">
            <v>-</v>
          </cell>
          <cell r="F1717">
            <v>0</v>
          </cell>
          <cell r="G1717">
            <v>0</v>
          </cell>
          <cell r="H1717">
            <v>0</v>
          </cell>
          <cell r="I1717">
            <v>0</v>
          </cell>
        </row>
        <row r="1718">
          <cell r="C1718">
            <v>0</v>
          </cell>
          <cell r="D1718" t="str">
            <v>-</v>
          </cell>
          <cell r="E1718" t="str">
            <v>-</v>
          </cell>
          <cell r="F1718">
            <v>0</v>
          </cell>
          <cell r="G1718">
            <v>0</v>
          </cell>
          <cell r="H1718">
            <v>0</v>
          </cell>
          <cell r="I1718">
            <v>0</v>
          </cell>
        </row>
        <row r="1719">
          <cell r="C1719">
            <v>0</v>
          </cell>
          <cell r="D1719" t="str">
            <v>SUB TOTAL MANO DE OBRA</v>
          </cell>
          <cell r="E1719">
            <v>0</v>
          </cell>
          <cell r="F1719">
            <v>0</v>
          </cell>
          <cell r="G1719">
            <v>0</v>
          </cell>
          <cell r="H1719">
            <v>2830.9508000000001</v>
          </cell>
          <cell r="I1719">
            <v>0</v>
          </cell>
        </row>
        <row r="1720">
          <cell r="C1720">
            <v>0</v>
          </cell>
          <cell r="D1720" t="str">
            <v>C- EQUIPOS:</v>
          </cell>
          <cell r="E1720">
            <v>0</v>
          </cell>
          <cell r="F1720">
            <v>0</v>
          </cell>
          <cell r="G1720">
            <v>0</v>
          </cell>
          <cell r="H1720">
            <v>0</v>
          </cell>
          <cell r="I1720">
            <v>0</v>
          </cell>
        </row>
        <row r="1721">
          <cell r="C1721">
            <v>0</v>
          </cell>
          <cell r="D1721" t="str">
            <v>Herramientas de Mano</v>
          </cell>
          <cell r="E1721" t="str">
            <v>gl</v>
          </cell>
          <cell r="F1721">
            <v>1845.8807248264463</v>
          </cell>
          <cell r="G1721">
            <v>1</v>
          </cell>
          <cell r="H1721">
            <v>1845.8807248264463</v>
          </cell>
          <cell r="I1721">
            <v>0</v>
          </cell>
        </row>
        <row r="1722">
          <cell r="C1722">
            <v>0</v>
          </cell>
          <cell r="D1722" t="str">
            <v>-</v>
          </cell>
          <cell r="E1722" t="str">
            <v>-</v>
          </cell>
          <cell r="F1722">
            <v>0</v>
          </cell>
          <cell r="G1722">
            <v>0</v>
          </cell>
          <cell r="H1722">
            <v>0</v>
          </cell>
          <cell r="I1722">
            <v>0</v>
          </cell>
        </row>
        <row r="1723">
          <cell r="C1723">
            <v>0</v>
          </cell>
          <cell r="D1723" t="str">
            <v>-</v>
          </cell>
          <cell r="E1723" t="str">
            <v>-</v>
          </cell>
          <cell r="F1723">
            <v>0</v>
          </cell>
          <cell r="G1723">
            <v>0</v>
          </cell>
          <cell r="H1723">
            <v>0</v>
          </cell>
          <cell r="I1723">
            <v>0</v>
          </cell>
        </row>
        <row r="1724">
          <cell r="C1724">
            <v>0</v>
          </cell>
          <cell r="D1724" t="str">
            <v>-</v>
          </cell>
          <cell r="E1724" t="str">
            <v>-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</row>
        <row r="1725">
          <cell r="C1725">
            <v>0</v>
          </cell>
          <cell r="D1725" t="str">
            <v>-</v>
          </cell>
          <cell r="E1725" t="str">
            <v>-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</row>
        <row r="1726">
          <cell r="C1726">
            <v>0</v>
          </cell>
          <cell r="D1726" t="str">
            <v>SUB TOTAL EQUIPOS</v>
          </cell>
          <cell r="E1726">
            <v>0</v>
          </cell>
          <cell r="F1726">
            <v>0</v>
          </cell>
          <cell r="G1726">
            <v>0</v>
          </cell>
          <cell r="H1726">
            <v>1845.8807248264463</v>
          </cell>
          <cell r="I1726">
            <v>0</v>
          </cell>
        </row>
        <row r="1727">
          <cell r="C1727">
            <v>0</v>
          </cell>
          <cell r="D1727">
            <v>0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</row>
        <row r="1728">
          <cell r="B1728">
            <v>32</v>
          </cell>
          <cell r="C1728">
            <v>0</v>
          </cell>
          <cell r="D1728" t="str">
            <v>COSTO-COSTO</v>
          </cell>
          <cell r="E1728">
            <v>0</v>
          </cell>
          <cell r="F1728">
            <v>0</v>
          </cell>
          <cell r="G1728">
            <v>0</v>
          </cell>
          <cell r="H1728">
            <v>63375.238219041326</v>
          </cell>
          <cell r="I1728">
            <v>0</v>
          </cell>
        </row>
        <row r="1729">
          <cell r="C1729">
            <v>0</v>
          </cell>
          <cell r="D1729" t="str">
            <v>GASTO FINANCIERO</v>
          </cell>
          <cell r="E1729">
            <v>0</v>
          </cell>
          <cell r="F1729">
            <v>0</v>
          </cell>
          <cell r="G1729">
            <v>0.02</v>
          </cell>
          <cell r="H1729">
            <v>1267.5047643808266</v>
          </cell>
          <cell r="I1729">
            <v>0</v>
          </cell>
        </row>
        <row r="1730">
          <cell r="C1730">
            <v>0</v>
          </cell>
          <cell r="D1730" t="str">
            <v>SUB TOTAL</v>
          </cell>
          <cell r="E1730">
            <v>0</v>
          </cell>
          <cell r="F1730">
            <v>0</v>
          </cell>
          <cell r="G1730">
            <v>0</v>
          </cell>
          <cell r="H1730">
            <v>64642.742983422155</v>
          </cell>
          <cell r="I1730">
            <v>0</v>
          </cell>
        </row>
        <row r="1731">
          <cell r="C1731">
            <v>0</v>
          </cell>
          <cell r="D1731" t="str">
            <v>GASTOS GENERALES</v>
          </cell>
          <cell r="E1731">
            <v>0</v>
          </cell>
          <cell r="F1731">
            <v>0</v>
          </cell>
          <cell r="G1731">
            <v>0.35116211482007981</v>
          </cell>
          <cell r="H1731">
            <v>22700.082333829399</v>
          </cell>
          <cell r="I1731">
            <v>0</v>
          </cell>
        </row>
        <row r="1732">
          <cell r="C1732">
            <v>0</v>
          </cell>
          <cell r="D1732" t="str">
            <v>BENEFICIO</v>
          </cell>
          <cell r="E1732">
            <v>0</v>
          </cell>
          <cell r="F1732">
            <v>0</v>
          </cell>
          <cell r="G1732">
            <v>0.1</v>
          </cell>
          <cell r="H1732">
            <v>6464.2742983422158</v>
          </cell>
          <cell r="I1732">
            <v>0</v>
          </cell>
        </row>
        <row r="1733">
          <cell r="C1733">
            <v>0</v>
          </cell>
          <cell r="D1733" t="str">
            <v>COSTO TOTAL UNITARIO</v>
          </cell>
          <cell r="E1733">
            <v>0</v>
          </cell>
          <cell r="F1733">
            <v>0</v>
          </cell>
          <cell r="G1733">
            <v>0</v>
          </cell>
          <cell r="H1733">
            <v>93807.099615593776</v>
          </cell>
          <cell r="I1733">
            <v>0</v>
          </cell>
        </row>
        <row r="1734">
          <cell r="C1734">
            <v>0</v>
          </cell>
          <cell r="D1734" t="str">
            <v>IMPUETOS</v>
          </cell>
          <cell r="E1734">
            <v>0</v>
          </cell>
          <cell r="F1734" t="str">
            <v>IIBB</v>
          </cell>
          <cell r="G1734">
            <v>2.4E-2</v>
          </cell>
          <cell r="H1734">
            <v>2251.3703907742506</v>
          </cell>
          <cell r="I1734">
            <v>0</v>
          </cell>
        </row>
        <row r="1735">
          <cell r="C1735">
            <v>0</v>
          </cell>
          <cell r="D1735">
            <v>0</v>
          </cell>
          <cell r="E1735">
            <v>0</v>
          </cell>
          <cell r="F1735" t="str">
            <v>IVA</v>
          </cell>
          <cell r="G1735">
            <v>0.21</v>
          </cell>
          <cell r="H1735">
            <v>19699.490919274693</v>
          </cell>
          <cell r="I1735">
            <v>0</v>
          </cell>
        </row>
        <row r="1736">
          <cell r="C1736">
            <v>0</v>
          </cell>
          <cell r="D1736">
            <v>0</v>
          </cell>
          <cell r="E1736">
            <v>0</v>
          </cell>
          <cell r="F1736">
            <v>0</v>
          </cell>
          <cell r="G1736">
            <v>0</v>
          </cell>
          <cell r="H1736">
            <v>0</v>
          </cell>
          <cell r="I1736">
            <v>0</v>
          </cell>
        </row>
        <row r="1737">
          <cell r="C1737">
            <v>0</v>
          </cell>
          <cell r="D1737" t="str">
            <v>PRECIO TOTAL UNITARIO</v>
          </cell>
          <cell r="E1737">
            <v>0</v>
          </cell>
          <cell r="F1737">
            <v>0</v>
          </cell>
          <cell r="G1737">
            <v>0</v>
          </cell>
          <cell r="H1737">
            <v>115757.96092564272</v>
          </cell>
          <cell r="I1737">
            <v>0</v>
          </cell>
        </row>
        <row r="1738">
          <cell r="C1738">
            <v>0</v>
          </cell>
          <cell r="D1738">
            <v>0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</row>
        <row r="1739">
          <cell r="C1739">
            <v>0</v>
          </cell>
          <cell r="D1739">
            <v>0</v>
          </cell>
          <cell r="E1739">
            <v>0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</row>
        <row r="1740">
          <cell r="C1740">
            <v>0</v>
          </cell>
          <cell r="D1740" t="str">
            <v>Rubro:</v>
          </cell>
          <cell r="E1740">
            <v>9</v>
          </cell>
          <cell r="F1740" t="str">
            <v>Instalaciones</v>
          </cell>
          <cell r="G1740" t="e">
            <v>#NAME?</v>
          </cell>
          <cell r="H1740" t="e">
            <v>#NAME?</v>
          </cell>
          <cell r="I1740">
            <v>0</v>
          </cell>
        </row>
        <row r="1741">
          <cell r="C1741">
            <v>0</v>
          </cell>
          <cell r="D1741" t="str">
            <v>Sub Rubro:</v>
          </cell>
          <cell r="E1741">
            <v>9.3000000000000007</v>
          </cell>
          <cell r="F1741" t="str">
            <v>Instalación Sanitaria</v>
          </cell>
          <cell r="G1741" t="e">
            <v>#NAME?</v>
          </cell>
          <cell r="H1741" t="e">
            <v>#NAME?</v>
          </cell>
          <cell r="I1741">
            <v>0</v>
          </cell>
        </row>
        <row r="1742">
          <cell r="C1742">
            <v>0</v>
          </cell>
          <cell r="D1742" t="str">
            <v>Ítem:</v>
          </cell>
          <cell r="E1742">
            <v>9.3000000000000007</v>
          </cell>
          <cell r="F1742" t="str">
            <v>Instalación Sanitaria</v>
          </cell>
          <cell r="G1742" t="e">
            <v>#NAME?</v>
          </cell>
          <cell r="H1742" t="e">
            <v>#NAME?</v>
          </cell>
          <cell r="I1742">
            <v>0</v>
          </cell>
        </row>
        <row r="1743">
          <cell r="C1743">
            <v>0</v>
          </cell>
          <cell r="D1743" t="str">
            <v>Unida:</v>
          </cell>
          <cell r="E1743" t="str">
            <v>gl</v>
          </cell>
          <cell r="F1743">
            <v>0</v>
          </cell>
          <cell r="G1743">
            <v>0</v>
          </cell>
          <cell r="H1743">
            <v>0</v>
          </cell>
          <cell r="I1743">
            <v>0</v>
          </cell>
        </row>
        <row r="1744">
          <cell r="C1744">
            <v>0</v>
          </cell>
          <cell r="D1744" t="str">
            <v>DENOMINACION</v>
          </cell>
          <cell r="E1744" t="str">
            <v>UNIDAD</v>
          </cell>
          <cell r="F1744" t="str">
            <v>COSTO UNITARIO</v>
          </cell>
          <cell r="G1744" t="str">
            <v>RENDIMIENTO POR UNIDAD</v>
          </cell>
          <cell r="H1744" t="str">
            <v>COSTO PARCIAL</v>
          </cell>
          <cell r="I1744">
            <v>0</v>
          </cell>
        </row>
        <row r="1745">
          <cell r="C1745">
            <v>0</v>
          </cell>
          <cell r="D1745" t="str">
            <v>A- MATERIALES: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</row>
        <row r="1746">
          <cell r="C1746">
            <v>0</v>
          </cell>
          <cell r="D1746" t="str">
            <v>Inst. Base Cloacal.</v>
          </cell>
          <cell r="E1746" t="str">
            <v>gl</v>
          </cell>
          <cell r="F1746">
            <v>5400</v>
          </cell>
          <cell r="G1746">
            <v>1</v>
          </cell>
          <cell r="H1746">
            <v>5400</v>
          </cell>
          <cell r="I1746">
            <v>0</v>
          </cell>
        </row>
        <row r="1747">
          <cell r="C1747">
            <v>0</v>
          </cell>
          <cell r="D1747" t="str">
            <v>Inst. Ventilacion.</v>
          </cell>
          <cell r="E1747" t="str">
            <v>gl</v>
          </cell>
          <cell r="F1747">
            <v>1000</v>
          </cell>
          <cell r="G1747">
            <v>1</v>
          </cell>
          <cell r="H1747">
            <v>1000</v>
          </cell>
          <cell r="I1747">
            <v>0</v>
          </cell>
        </row>
        <row r="1748">
          <cell r="C1748">
            <v>0</v>
          </cell>
          <cell r="D1748" t="str">
            <v>Inst. Agua Fría y Caliente</v>
          </cell>
          <cell r="E1748" t="str">
            <v>gl</v>
          </cell>
          <cell r="F1748">
            <v>3200</v>
          </cell>
          <cell r="G1748">
            <v>1</v>
          </cell>
          <cell r="H1748">
            <v>3200</v>
          </cell>
          <cell r="I1748">
            <v>0</v>
          </cell>
        </row>
        <row r="1749">
          <cell r="C1749">
            <v>0</v>
          </cell>
          <cell r="D1749" t="str">
            <v>Tanque.</v>
          </cell>
          <cell r="E1749" t="str">
            <v>gl</v>
          </cell>
          <cell r="F1749">
            <v>3800</v>
          </cell>
          <cell r="G1749">
            <v>1</v>
          </cell>
          <cell r="H1749">
            <v>3800</v>
          </cell>
          <cell r="I1749">
            <v>0</v>
          </cell>
        </row>
        <row r="1750">
          <cell r="C1750">
            <v>0</v>
          </cell>
          <cell r="D1750" t="str">
            <v>Artefactos y Griferia.</v>
          </cell>
          <cell r="E1750" t="str">
            <v>gl</v>
          </cell>
          <cell r="F1750">
            <v>12000</v>
          </cell>
          <cell r="G1750">
            <v>1</v>
          </cell>
          <cell r="H1750">
            <v>12000</v>
          </cell>
          <cell r="I1750">
            <v>0</v>
          </cell>
        </row>
        <row r="1751">
          <cell r="C1751">
            <v>0</v>
          </cell>
          <cell r="D1751">
            <v>0</v>
          </cell>
          <cell r="E1751" t="str">
            <v>-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</row>
        <row r="1752">
          <cell r="C1752">
            <v>0</v>
          </cell>
          <cell r="D1752">
            <v>0</v>
          </cell>
          <cell r="E1752" t="str">
            <v>-</v>
          </cell>
          <cell r="F1752">
            <v>0</v>
          </cell>
          <cell r="G1752">
            <v>0</v>
          </cell>
          <cell r="H1752">
            <v>0</v>
          </cell>
          <cell r="I1752">
            <v>0</v>
          </cell>
        </row>
        <row r="1753">
          <cell r="C1753">
            <v>0</v>
          </cell>
          <cell r="D1753">
            <v>0</v>
          </cell>
          <cell r="E1753" t="str">
            <v>-</v>
          </cell>
          <cell r="F1753">
            <v>0</v>
          </cell>
          <cell r="G1753">
            <v>0</v>
          </cell>
          <cell r="H1753">
            <v>0</v>
          </cell>
          <cell r="I1753">
            <v>0</v>
          </cell>
        </row>
        <row r="1754">
          <cell r="C1754">
            <v>0</v>
          </cell>
          <cell r="D1754">
            <v>0</v>
          </cell>
          <cell r="E1754" t="str">
            <v>-</v>
          </cell>
          <cell r="F1754">
            <v>0</v>
          </cell>
          <cell r="G1754">
            <v>0</v>
          </cell>
          <cell r="H1754">
            <v>0</v>
          </cell>
          <cell r="I1754">
            <v>0</v>
          </cell>
        </row>
        <row r="1755">
          <cell r="C1755">
            <v>0</v>
          </cell>
          <cell r="D1755">
            <v>0</v>
          </cell>
          <cell r="E1755" t="str">
            <v>-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</row>
        <row r="1756">
          <cell r="C1756">
            <v>0</v>
          </cell>
          <cell r="D1756">
            <v>0</v>
          </cell>
          <cell r="E1756" t="str">
            <v>-</v>
          </cell>
          <cell r="F1756">
            <v>0</v>
          </cell>
          <cell r="G1756">
            <v>0</v>
          </cell>
          <cell r="H1756">
            <v>0</v>
          </cell>
          <cell r="I1756">
            <v>0</v>
          </cell>
        </row>
        <row r="1757">
          <cell r="C1757">
            <v>0</v>
          </cell>
          <cell r="D1757">
            <v>0</v>
          </cell>
          <cell r="E1757" t="str">
            <v>-</v>
          </cell>
          <cell r="F1757">
            <v>0</v>
          </cell>
          <cell r="G1757">
            <v>0</v>
          </cell>
          <cell r="H1757">
            <v>0</v>
          </cell>
          <cell r="I1757">
            <v>0</v>
          </cell>
        </row>
        <row r="1758">
          <cell r="C1758">
            <v>0</v>
          </cell>
          <cell r="D1758">
            <v>0</v>
          </cell>
          <cell r="E1758" t="str">
            <v>-</v>
          </cell>
          <cell r="F1758">
            <v>0</v>
          </cell>
          <cell r="G1758">
            <v>0</v>
          </cell>
          <cell r="H1758">
            <v>0</v>
          </cell>
          <cell r="I1758">
            <v>0</v>
          </cell>
        </row>
        <row r="1759">
          <cell r="C1759">
            <v>0</v>
          </cell>
          <cell r="D1759">
            <v>0</v>
          </cell>
          <cell r="E1759" t="str">
            <v>-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</row>
        <row r="1760">
          <cell r="C1760">
            <v>0</v>
          </cell>
          <cell r="D1760">
            <v>0</v>
          </cell>
          <cell r="E1760" t="str">
            <v>-</v>
          </cell>
          <cell r="F1760">
            <v>0</v>
          </cell>
          <cell r="G1760">
            <v>0</v>
          </cell>
          <cell r="H1760">
            <v>0</v>
          </cell>
          <cell r="I1760">
            <v>0</v>
          </cell>
        </row>
        <row r="1761">
          <cell r="C1761">
            <v>0</v>
          </cell>
          <cell r="D1761">
            <v>0</v>
          </cell>
          <cell r="E1761" t="str">
            <v>-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</row>
        <row r="1762">
          <cell r="C1762">
            <v>0</v>
          </cell>
          <cell r="D1762">
            <v>0</v>
          </cell>
          <cell r="E1762" t="str">
            <v>-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</row>
        <row r="1763">
          <cell r="C1763">
            <v>0</v>
          </cell>
          <cell r="D1763">
            <v>0</v>
          </cell>
          <cell r="E1763" t="str">
            <v>-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</row>
        <row r="1764">
          <cell r="C1764">
            <v>0</v>
          </cell>
          <cell r="D1764">
            <v>0</v>
          </cell>
          <cell r="E1764" t="str">
            <v>-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</row>
        <row r="1765">
          <cell r="C1765">
            <v>0</v>
          </cell>
          <cell r="D1765">
            <v>0</v>
          </cell>
          <cell r="E1765" t="str">
            <v>-</v>
          </cell>
          <cell r="F1765">
            <v>0</v>
          </cell>
          <cell r="G1765">
            <v>0</v>
          </cell>
          <cell r="H1765">
            <v>0</v>
          </cell>
          <cell r="I1765">
            <v>0</v>
          </cell>
        </row>
        <row r="1766">
          <cell r="C1766">
            <v>0</v>
          </cell>
          <cell r="D1766" t="str">
            <v>SUB TOTAL MATERIALES</v>
          </cell>
          <cell r="E1766">
            <v>0</v>
          </cell>
          <cell r="F1766">
            <v>0</v>
          </cell>
          <cell r="G1766">
            <v>0</v>
          </cell>
          <cell r="H1766">
            <v>25400</v>
          </cell>
          <cell r="I1766">
            <v>0</v>
          </cell>
        </row>
        <row r="1767">
          <cell r="C1767">
            <v>0</v>
          </cell>
          <cell r="D1767" t="str">
            <v>B- MANO DE OBRA:</v>
          </cell>
          <cell r="E1767">
            <v>0</v>
          </cell>
          <cell r="F1767">
            <v>0</v>
          </cell>
          <cell r="G1767">
            <v>0</v>
          </cell>
          <cell r="H1767">
            <v>0</v>
          </cell>
          <cell r="I1767">
            <v>0</v>
          </cell>
        </row>
        <row r="1768">
          <cell r="C1768">
            <v>0</v>
          </cell>
          <cell r="D1768" t="str">
            <v>Oficial</v>
          </cell>
          <cell r="E1768" t="str">
            <v>hs</v>
          </cell>
          <cell r="F1768">
            <v>56.619016000000002</v>
          </cell>
          <cell r="G1768">
            <v>150</v>
          </cell>
          <cell r="H1768">
            <v>8492.8523999999998</v>
          </cell>
          <cell r="I1768">
            <v>0</v>
          </cell>
        </row>
        <row r="1769">
          <cell r="C1769">
            <v>0</v>
          </cell>
          <cell r="D1769" t="str">
            <v>Ayudante</v>
          </cell>
          <cell r="E1769" t="str">
            <v>hs</v>
          </cell>
          <cell r="F1769">
            <v>48.396512000000008</v>
          </cell>
          <cell r="G1769">
            <v>84.864537345170589</v>
          </cell>
          <cell r="H1769">
            <v>4107.1475999999975</v>
          </cell>
          <cell r="I1769">
            <v>0</v>
          </cell>
        </row>
        <row r="1770">
          <cell r="C1770">
            <v>0</v>
          </cell>
          <cell r="D1770" t="str">
            <v>-</v>
          </cell>
          <cell r="E1770" t="str">
            <v>-</v>
          </cell>
          <cell r="F1770">
            <v>0</v>
          </cell>
          <cell r="G1770">
            <v>0</v>
          </cell>
          <cell r="H1770">
            <v>0</v>
          </cell>
          <cell r="I1770">
            <v>0</v>
          </cell>
        </row>
        <row r="1771">
          <cell r="C1771">
            <v>0</v>
          </cell>
          <cell r="D1771" t="str">
            <v>-</v>
          </cell>
          <cell r="E1771" t="str">
            <v>-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</row>
        <row r="1772">
          <cell r="C1772">
            <v>0</v>
          </cell>
          <cell r="D1772" t="str">
            <v>-</v>
          </cell>
          <cell r="E1772" t="str">
            <v>-</v>
          </cell>
          <cell r="F1772">
            <v>0</v>
          </cell>
          <cell r="G1772">
            <v>0</v>
          </cell>
          <cell r="H1772">
            <v>0</v>
          </cell>
          <cell r="I1772">
            <v>0</v>
          </cell>
        </row>
        <row r="1773">
          <cell r="C1773">
            <v>0</v>
          </cell>
          <cell r="D1773" t="str">
            <v>SUB TOTAL MANO DE OBRA</v>
          </cell>
          <cell r="E1773">
            <v>0</v>
          </cell>
          <cell r="F1773">
            <v>0</v>
          </cell>
          <cell r="G1773">
            <v>0</v>
          </cell>
          <cell r="H1773">
            <v>12599.999999999996</v>
          </cell>
          <cell r="I1773">
            <v>0</v>
          </cell>
        </row>
        <row r="1774">
          <cell r="C1774">
            <v>0</v>
          </cell>
          <cell r="D1774" t="str">
            <v>C- EQUIPOS:</v>
          </cell>
          <cell r="E1774">
            <v>0</v>
          </cell>
          <cell r="F1774">
            <v>0</v>
          </cell>
          <cell r="G1774">
            <v>0</v>
          </cell>
          <cell r="H1774">
            <v>0</v>
          </cell>
          <cell r="I1774">
            <v>0</v>
          </cell>
        </row>
        <row r="1775">
          <cell r="C1775">
            <v>0</v>
          </cell>
          <cell r="D1775" t="str">
            <v>Herramientas de Mano</v>
          </cell>
          <cell r="E1775" t="str">
            <v>gl</v>
          </cell>
          <cell r="F1775">
            <v>1140</v>
          </cell>
          <cell r="G1775">
            <v>1</v>
          </cell>
          <cell r="H1775">
            <v>1140</v>
          </cell>
          <cell r="I1775">
            <v>0</v>
          </cell>
        </row>
        <row r="1776">
          <cell r="C1776">
            <v>0</v>
          </cell>
          <cell r="D1776" t="str">
            <v>-</v>
          </cell>
          <cell r="E1776" t="str">
            <v>-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</row>
        <row r="1777">
          <cell r="C1777">
            <v>0</v>
          </cell>
          <cell r="D1777" t="str">
            <v>-</v>
          </cell>
          <cell r="E1777" t="str">
            <v>-</v>
          </cell>
          <cell r="F1777">
            <v>0</v>
          </cell>
          <cell r="G1777">
            <v>0</v>
          </cell>
          <cell r="H1777">
            <v>0</v>
          </cell>
          <cell r="I1777">
            <v>0</v>
          </cell>
        </row>
        <row r="1778">
          <cell r="C1778">
            <v>0</v>
          </cell>
          <cell r="D1778" t="str">
            <v>-</v>
          </cell>
          <cell r="E1778" t="str">
            <v>-</v>
          </cell>
          <cell r="F1778">
            <v>0</v>
          </cell>
          <cell r="G1778">
            <v>0</v>
          </cell>
          <cell r="H1778">
            <v>0</v>
          </cell>
          <cell r="I1778">
            <v>0</v>
          </cell>
        </row>
        <row r="1779">
          <cell r="C1779">
            <v>0</v>
          </cell>
          <cell r="D1779" t="str">
            <v>-</v>
          </cell>
          <cell r="E1779" t="str">
            <v>-</v>
          </cell>
          <cell r="F1779">
            <v>0</v>
          </cell>
          <cell r="G1779">
            <v>0</v>
          </cell>
          <cell r="H1779">
            <v>0</v>
          </cell>
          <cell r="I1779">
            <v>0</v>
          </cell>
        </row>
        <row r="1780">
          <cell r="C1780">
            <v>0</v>
          </cell>
          <cell r="D1780" t="str">
            <v>SUB TOTAL EQUIPOS</v>
          </cell>
          <cell r="E1780">
            <v>0</v>
          </cell>
          <cell r="F1780">
            <v>0</v>
          </cell>
          <cell r="G1780">
            <v>0</v>
          </cell>
          <cell r="H1780">
            <v>1140</v>
          </cell>
          <cell r="I1780">
            <v>0</v>
          </cell>
        </row>
        <row r="1781">
          <cell r="C1781">
            <v>0</v>
          </cell>
          <cell r="D1781">
            <v>0</v>
          </cell>
          <cell r="E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</row>
        <row r="1782">
          <cell r="B1782">
            <v>33</v>
          </cell>
          <cell r="C1782">
            <v>0</v>
          </cell>
          <cell r="D1782" t="str">
            <v>COSTO-COSTO</v>
          </cell>
          <cell r="E1782">
            <v>0</v>
          </cell>
          <cell r="F1782">
            <v>0</v>
          </cell>
          <cell r="G1782">
            <v>0</v>
          </cell>
          <cell r="H1782">
            <v>39140</v>
          </cell>
          <cell r="I1782">
            <v>0</v>
          </cell>
        </row>
        <row r="1783">
          <cell r="C1783">
            <v>0</v>
          </cell>
          <cell r="D1783" t="str">
            <v>GASTO FINANCIERO</v>
          </cell>
          <cell r="E1783">
            <v>0</v>
          </cell>
          <cell r="F1783">
            <v>0</v>
          </cell>
          <cell r="G1783">
            <v>0.02</v>
          </cell>
          <cell r="H1783">
            <v>782.80000000000007</v>
          </cell>
          <cell r="I1783">
            <v>0</v>
          </cell>
        </row>
        <row r="1784">
          <cell r="C1784">
            <v>0</v>
          </cell>
          <cell r="D1784" t="str">
            <v>SUB TOTAL</v>
          </cell>
          <cell r="E1784">
            <v>0</v>
          </cell>
          <cell r="F1784">
            <v>0</v>
          </cell>
          <cell r="G1784">
            <v>0</v>
          </cell>
          <cell r="H1784">
            <v>39922.800000000003</v>
          </cell>
          <cell r="I1784">
            <v>0</v>
          </cell>
        </row>
        <row r="1785">
          <cell r="C1785">
            <v>0</v>
          </cell>
          <cell r="D1785" t="str">
            <v>GASTOS GENERALES</v>
          </cell>
          <cell r="E1785">
            <v>0</v>
          </cell>
          <cell r="F1785">
            <v>0</v>
          </cell>
          <cell r="G1785">
            <v>0.35116211482007981</v>
          </cell>
          <cell r="H1785">
            <v>14019.374877539083</v>
          </cell>
          <cell r="I1785">
            <v>0</v>
          </cell>
        </row>
        <row r="1786">
          <cell r="C1786">
            <v>0</v>
          </cell>
          <cell r="D1786" t="str">
            <v>BENEFICIO</v>
          </cell>
          <cell r="E1786">
            <v>0</v>
          </cell>
          <cell r="F1786">
            <v>0</v>
          </cell>
          <cell r="G1786">
            <v>0.1</v>
          </cell>
          <cell r="H1786">
            <v>3992.2800000000007</v>
          </cell>
          <cell r="I1786">
            <v>0</v>
          </cell>
        </row>
        <row r="1787">
          <cell r="C1787">
            <v>0</v>
          </cell>
          <cell r="D1787" t="str">
            <v>COSTO TOTAL UNITARIO</v>
          </cell>
          <cell r="E1787">
            <v>0</v>
          </cell>
          <cell r="F1787">
            <v>0</v>
          </cell>
          <cell r="G1787">
            <v>0</v>
          </cell>
          <cell r="H1787">
            <v>57934.454877539087</v>
          </cell>
          <cell r="I1787">
            <v>0</v>
          </cell>
        </row>
        <row r="1788">
          <cell r="C1788">
            <v>0</v>
          </cell>
          <cell r="D1788" t="str">
            <v>IMPUETOS</v>
          </cell>
          <cell r="E1788">
            <v>0</v>
          </cell>
          <cell r="F1788" t="str">
            <v>IIBB</v>
          </cell>
          <cell r="G1788">
            <v>2.4E-2</v>
          </cell>
          <cell r="H1788">
            <v>1390.4269170609382</v>
          </cell>
          <cell r="I1788">
            <v>0</v>
          </cell>
        </row>
        <row r="1789">
          <cell r="C1789">
            <v>0</v>
          </cell>
          <cell r="D1789">
            <v>0</v>
          </cell>
          <cell r="E1789">
            <v>0</v>
          </cell>
          <cell r="F1789" t="str">
            <v>IVA</v>
          </cell>
          <cell r="G1789">
            <v>0.21</v>
          </cell>
          <cell r="H1789">
            <v>12166.235524283207</v>
          </cell>
          <cell r="I1789">
            <v>0</v>
          </cell>
        </row>
        <row r="1790">
          <cell r="C1790">
            <v>0</v>
          </cell>
          <cell r="D1790">
            <v>0</v>
          </cell>
          <cell r="E1790">
            <v>0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</row>
        <row r="1791">
          <cell r="C1791">
            <v>0</v>
          </cell>
          <cell r="D1791" t="str">
            <v>PRECIO TOTAL UNITARIO</v>
          </cell>
          <cell r="E1791">
            <v>0</v>
          </cell>
          <cell r="F1791">
            <v>0</v>
          </cell>
          <cell r="G1791">
            <v>0</v>
          </cell>
          <cell r="H1791">
            <v>71491.117318883233</v>
          </cell>
          <cell r="I1791">
            <v>0</v>
          </cell>
        </row>
        <row r="1792">
          <cell r="C1792">
            <v>0</v>
          </cell>
          <cell r="D1792">
            <v>0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</row>
        <row r="1793">
          <cell r="C1793">
            <v>0</v>
          </cell>
          <cell r="D1793">
            <v>0</v>
          </cell>
          <cell r="E1793">
            <v>0</v>
          </cell>
          <cell r="F1793">
            <v>0</v>
          </cell>
          <cell r="G1793">
            <v>0</v>
          </cell>
          <cell r="H1793">
            <v>0</v>
          </cell>
          <cell r="I1793">
            <v>0</v>
          </cell>
        </row>
        <row r="1794">
          <cell r="C1794">
            <v>0</v>
          </cell>
          <cell r="D1794" t="str">
            <v>Rubro:</v>
          </cell>
          <cell r="E1794">
            <v>9</v>
          </cell>
          <cell r="F1794" t="str">
            <v>Instalaciones</v>
          </cell>
          <cell r="G1794" t="e">
            <v>#NAME?</v>
          </cell>
          <cell r="H1794" t="e">
            <v>#NAME?</v>
          </cell>
          <cell r="I1794">
            <v>0</v>
          </cell>
        </row>
        <row r="1795">
          <cell r="C1795">
            <v>0</v>
          </cell>
          <cell r="D1795" t="str">
            <v>Sub Rubro:</v>
          </cell>
          <cell r="E1795">
            <v>9.4</v>
          </cell>
          <cell r="F1795" t="str">
            <v>Instalación Gas</v>
          </cell>
          <cell r="G1795" t="e">
            <v>#NAME?</v>
          </cell>
          <cell r="H1795" t="e">
            <v>#NAME?</v>
          </cell>
          <cell r="I1795">
            <v>0</v>
          </cell>
        </row>
        <row r="1796">
          <cell r="C1796">
            <v>0</v>
          </cell>
          <cell r="D1796" t="str">
            <v>Ítem:</v>
          </cell>
          <cell r="E1796">
            <v>9.4</v>
          </cell>
          <cell r="F1796" t="str">
            <v>Instalación Gas</v>
          </cell>
          <cell r="G1796" t="e">
            <v>#NAME?</v>
          </cell>
          <cell r="H1796" t="e">
            <v>#NAME?</v>
          </cell>
          <cell r="I1796">
            <v>0</v>
          </cell>
        </row>
        <row r="1797">
          <cell r="C1797">
            <v>0</v>
          </cell>
          <cell r="D1797" t="str">
            <v>Unida:</v>
          </cell>
          <cell r="E1797" t="str">
            <v>gl</v>
          </cell>
          <cell r="F1797">
            <v>0</v>
          </cell>
          <cell r="G1797">
            <v>0</v>
          </cell>
          <cell r="H1797">
            <v>0</v>
          </cell>
          <cell r="I1797">
            <v>0</v>
          </cell>
        </row>
        <row r="1798">
          <cell r="C1798">
            <v>0</v>
          </cell>
          <cell r="D1798" t="str">
            <v>DENOMINACION</v>
          </cell>
          <cell r="E1798" t="str">
            <v>UNIDAD</v>
          </cell>
          <cell r="F1798" t="str">
            <v>COSTO UNITARIO</v>
          </cell>
          <cell r="G1798" t="str">
            <v>RENDIMIENTO POR UNIDAD</v>
          </cell>
          <cell r="H1798" t="str">
            <v>COSTO PARCIAL</v>
          </cell>
          <cell r="I1798">
            <v>0</v>
          </cell>
        </row>
        <row r="1799">
          <cell r="C1799">
            <v>0</v>
          </cell>
          <cell r="D1799" t="str">
            <v>A- MATERIALES:</v>
          </cell>
          <cell r="E1799">
            <v>0</v>
          </cell>
          <cell r="F1799">
            <v>0</v>
          </cell>
          <cell r="G1799">
            <v>0</v>
          </cell>
          <cell r="H1799">
            <v>0</v>
          </cell>
          <cell r="I1799">
            <v>0</v>
          </cell>
        </row>
        <row r="1800">
          <cell r="C1800">
            <v>0</v>
          </cell>
          <cell r="D1800" t="str">
            <v>Caño SIGAS 20</v>
          </cell>
          <cell r="E1800" t="str">
            <v>mt</v>
          </cell>
          <cell r="F1800">
            <v>36.71</v>
          </cell>
          <cell r="G1800">
            <v>30</v>
          </cell>
          <cell r="H1800">
            <v>1101.3</v>
          </cell>
          <cell r="I1800">
            <v>0</v>
          </cell>
        </row>
        <row r="1801">
          <cell r="C1801">
            <v>0</v>
          </cell>
          <cell r="D1801" t="str">
            <v>Caño SIGAS 25</v>
          </cell>
          <cell r="E1801" t="str">
            <v>mt</v>
          </cell>
          <cell r="F1801">
            <v>42.58</v>
          </cell>
          <cell r="G1801">
            <v>30</v>
          </cell>
          <cell r="H1801">
            <v>1277.3999999999999</v>
          </cell>
          <cell r="I1801">
            <v>0</v>
          </cell>
        </row>
        <row r="1802">
          <cell r="C1802">
            <v>0</v>
          </cell>
          <cell r="D1802" t="str">
            <v>Codo SIGAS 20</v>
          </cell>
          <cell r="E1802" t="str">
            <v>un</v>
          </cell>
          <cell r="F1802">
            <v>11.21</v>
          </cell>
          <cell r="G1802">
            <v>12</v>
          </cell>
          <cell r="H1802">
            <v>134.52000000000001</v>
          </cell>
          <cell r="I1802">
            <v>0</v>
          </cell>
        </row>
        <row r="1803">
          <cell r="C1803">
            <v>0</v>
          </cell>
          <cell r="D1803" t="str">
            <v>Codo SIGAS 25</v>
          </cell>
          <cell r="E1803" t="str">
            <v>un</v>
          </cell>
          <cell r="F1803">
            <v>13.52</v>
          </cell>
          <cell r="G1803">
            <v>6</v>
          </cell>
          <cell r="H1803">
            <v>81.12</v>
          </cell>
          <cell r="I1803">
            <v>0</v>
          </cell>
        </row>
        <row r="1804">
          <cell r="C1804">
            <v>0</v>
          </cell>
          <cell r="D1804" t="str">
            <v>T SIGAS 20</v>
          </cell>
          <cell r="E1804" t="str">
            <v>un</v>
          </cell>
          <cell r="F1804">
            <v>32.65</v>
          </cell>
          <cell r="G1804">
            <v>1</v>
          </cell>
          <cell r="H1804">
            <v>32.65</v>
          </cell>
          <cell r="I1804">
            <v>0</v>
          </cell>
        </row>
        <row r="1805">
          <cell r="C1805">
            <v>0</v>
          </cell>
          <cell r="D1805" t="str">
            <v>T SIGAS 25</v>
          </cell>
          <cell r="E1805" t="str">
            <v>un</v>
          </cell>
          <cell r="F1805">
            <v>37.72</v>
          </cell>
          <cell r="G1805">
            <v>5</v>
          </cell>
          <cell r="H1805">
            <v>188.6</v>
          </cell>
          <cell r="I1805">
            <v>0</v>
          </cell>
        </row>
        <row r="1806">
          <cell r="C1806">
            <v>0</v>
          </cell>
          <cell r="D1806" t="str">
            <v>Llave de paso SIGAS 20</v>
          </cell>
          <cell r="E1806" t="str">
            <v>un</v>
          </cell>
          <cell r="F1806">
            <v>139.87</v>
          </cell>
          <cell r="G1806">
            <v>4</v>
          </cell>
          <cell r="H1806">
            <v>559.48</v>
          </cell>
          <cell r="I1806">
            <v>0</v>
          </cell>
        </row>
        <row r="1807">
          <cell r="C1807">
            <v>0</v>
          </cell>
          <cell r="D1807" t="str">
            <v>Llave de paso SIGAS 25</v>
          </cell>
          <cell r="E1807" t="str">
            <v>un</v>
          </cell>
          <cell r="F1807">
            <v>163.53</v>
          </cell>
          <cell r="G1807">
            <v>1</v>
          </cell>
          <cell r="H1807">
            <v>163.53</v>
          </cell>
          <cell r="I1807">
            <v>0</v>
          </cell>
        </row>
        <row r="1808">
          <cell r="C1808">
            <v>0</v>
          </cell>
          <cell r="D1808" t="str">
            <v>Reduccion SIGAS 25 - 20</v>
          </cell>
          <cell r="E1808" t="str">
            <v>un</v>
          </cell>
          <cell r="F1808">
            <v>16.68</v>
          </cell>
          <cell r="G1808">
            <v>4</v>
          </cell>
          <cell r="H1808">
            <v>66.72</v>
          </cell>
          <cell r="I1808">
            <v>0</v>
          </cell>
        </row>
        <row r="1809">
          <cell r="C1809">
            <v>0</v>
          </cell>
          <cell r="D1809" t="str">
            <v>Codo SIGAS 20x1/2 hembra</v>
          </cell>
          <cell r="E1809" t="str">
            <v>un</v>
          </cell>
          <cell r="F1809">
            <v>56.68</v>
          </cell>
          <cell r="G1809">
            <v>5</v>
          </cell>
          <cell r="H1809">
            <v>283.39999999999998</v>
          </cell>
          <cell r="I1809">
            <v>0</v>
          </cell>
        </row>
        <row r="1810">
          <cell r="C1810">
            <v>0</v>
          </cell>
          <cell r="D1810" t="str">
            <v>Calefactor tiro balanseado 6000 cal</v>
          </cell>
          <cell r="E1810" t="str">
            <v>un</v>
          </cell>
          <cell r="F1810">
            <v>2952</v>
          </cell>
          <cell r="G1810">
            <v>3</v>
          </cell>
          <cell r="H1810">
            <v>8856</v>
          </cell>
          <cell r="I1810">
            <v>0</v>
          </cell>
        </row>
        <row r="1811">
          <cell r="C1811">
            <v>0</v>
          </cell>
          <cell r="D1811" t="str">
            <v>Union SIGAS 25</v>
          </cell>
          <cell r="E1811" t="str">
            <v>un</v>
          </cell>
          <cell r="F1811">
            <v>12.26</v>
          </cell>
          <cell r="G1811">
            <v>10</v>
          </cell>
          <cell r="H1811">
            <v>122.6</v>
          </cell>
          <cell r="I1811">
            <v>0</v>
          </cell>
        </row>
        <row r="1812">
          <cell r="C1812">
            <v>0</v>
          </cell>
          <cell r="D1812">
            <v>0</v>
          </cell>
          <cell r="E1812" t="str">
            <v>-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</row>
        <row r="1813">
          <cell r="C1813">
            <v>0</v>
          </cell>
          <cell r="D1813">
            <v>0</v>
          </cell>
          <cell r="E1813" t="str">
            <v>-</v>
          </cell>
          <cell r="F1813">
            <v>0</v>
          </cell>
          <cell r="G1813">
            <v>0</v>
          </cell>
          <cell r="H1813">
            <v>0</v>
          </cell>
          <cell r="I1813">
            <v>0</v>
          </cell>
        </row>
        <row r="1814">
          <cell r="C1814">
            <v>0</v>
          </cell>
          <cell r="D1814">
            <v>0</v>
          </cell>
          <cell r="E1814" t="str">
            <v>-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</row>
        <row r="1815">
          <cell r="C1815">
            <v>0</v>
          </cell>
          <cell r="D1815">
            <v>0</v>
          </cell>
          <cell r="E1815" t="str">
            <v>-</v>
          </cell>
          <cell r="F1815">
            <v>0</v>
          </cell>
          <cell r="G1815">
            <v>0</v>
          </cell>
          <cell r="H1815">
            <v>0</v>
          </cell>
          <cell r="I1815">
            <v>0</v>
          </cell>
        </row>
        <row r="1816">
          <cell r="C1816">
            <v>0</v>
          </cell>
          <cell r="D1816">
            <v>0</v>
          </cell>
          <cell r="E1816" t="str">
            <v>-</v>
          </cell>
          <cell r="F1816">
            <v>0</v>
          </cell>
          <cell r="G1816">
            <v>0</v>
          </cell>
          <cell r="H1816">
            <v>0</v>
          </cell>
          <cell r="I1816">
            <v>0</v>
          </cell>
        </row>
        <row r="1817">
          <cell r="C1817">
            <v>0</v>
          </cell>
          <cell r="D1817">
            <v>0</v>
          </cell>
          <cell r="E1817" t="str">
            <v>-</v>
          </cell>
          <cell r="F1817">
            <v>0</v>
          </cell>
          <cell r="G1817">
            <v>0</v>
          </cell>
          <cell r="H1817">
            <v>0</v>
          </cell>
          <cell r="I1817">
            <v>0</v>
          </cell>
        </row>
        <row r="1818">
          <cell r="C1818">
            <v>0</v>
          </cell>
          <cell r="D1818">
            <v>0</v>
          </cell>
          <cell r="E1818" t="str">
            <v>-</v>
          </cell>
          <cell r="F1818">
            <v>0</v>
          </cell>
          <cell r="G1818">
            <v>0</v>
          </cell>
          <cell r="H1818">
            <v>0</v>
          </cell>
          <cell r="I1818">
            <v>0</v>
          </cell>
        </row>
        <row r="1819">
          <cell r="C1819">
            <v>0</v>
          </cell>
          <cell r="D1819">
            <v>0</v>
          </cell>
          <cell r="E1819" t="str">
            <v>-</v>
          </cell>
          <cell r="F1819">
            <v>0</v>
          </cell>
          <cell r="G1819">
            <v>0</v>
          </cell>
          <cell r="H1819">
            <v>0</v>
          </cell>
          <cell r="I1819">
            <v>0</v>
          </cell>
        </row>
        <row r="1820">
          <cell r="C1820">
            <v>0</v>
          </cell>
          <cell r="D1820" t="str">
            <v>SUB TOTAL MATERIALES</v>
          </cell>
          <cell r="E1820">
            <v>0</v>
          </cell>
          <cell r="F1820">
            <v>0</v>
          </cell>
          <cell r="G1820">
            <v>0</v>
          </cell>
          <cell r="H1820">
            <v>12867.32</v>
          </cell>
          <cell r="I1820">
            <v>0</v>
          </cell>
        </row>
        <row r="1821">
          <cell r="C1821">
            <v>0</v>
          </cell>
          <cell r="D1821" t="str">
            <v>B- MANO DE OBRA:</v>
          </cell>
          <cell r="E1821">
            <v>0</v>
          </cell>
          <cell r="F1821">
            <v>0</v>
          </cell>
          <cell r="G1821">
            <v>0</v>
          </cell>
          <cell r="H1821">
            <v>0</v>
          </cell>
          <cell r="I1821">
            <v>0</v>
          </cell>
        </row>
        <row r="1822">
          <cell r="C1822">
            <v>0</v>
          </cell>
          <cell r="D1822" t="str">
            <v>Oficial</v>
          </cell>
          <cell r="E1822" t="str">
            <v>hs</v>
          </cell>
          <cell r="F1822">
            <v>56.619016000000002</v>
          </cell>
          <cell r="G1822">
            <v>15</v>
          </cell>
          <cell r="H1822">
            <v>849.28524000000004</v>
          </cell>
          <cell r="I1822">
            <v>0</v>
          </cell>
        </row>
        <row r="1823">
          <cell r="C1823">
            <v>0</v>
          </cell>
          <cell r="D1823" t="str">
            <v>Ayudante</v>
          </cell>
          <cell r="E1823" t="str">
            <v>hs</v>
          </cell>
          <cell r="F1823">
            <v>48.396512000000008</v>
          </cell>
          <cell r="G1823">
            <v>13.135549107340623</v>
          </cell>
          <cell r="H1823">
            <v>635.71475999999984</v>
          </cell>
          <cell r="I1823">
            <v>0</v>
          </cell>
        </row>
        <row r="1824">
          <cell r="C1824">
            <v>0</v>
          </cell>
          <cell r="D1824" t="str">
            <v>-</v>
          </cell>
          <cell r="E1824" t="str">
            <v>-</v>
          </cell>
          <cell r="F1824">
            <v>0</v>
          </cell>
          <cell r="G1824">
            <v>0</v>
          </cell>
          <cell r="H1824">
            <v>0</v>
          </cell>
          <cell r="I1824">
            <v>0</v>
          </cell>
        </row>
        <row r="1825">
          <cell r="C1825">
            <v>0</v>
          </cell>
          <cell r="D1825" t="str">
            <v>-</v>
          </cell>
          <cell r="E1825" t="str">
            <v>-</v>
          </cell>
          <cell r="F1825">
            <v>0</v>
          </cell>
          <cell r="G1825">
            <v>0</v>
          </cell>
          <cell r="H1825">
            <v>0</v>
          </cell>
          <cell r="I1825">
            <v>0</v>
          </cell>
        </row>
        <row r="1826">
          <cell r="C1826">
            <v>0</v>
          </cell>
          <cell r="D1826" t="str">
            <v>-</v>
          </cell>
          <cell r="E1826" t="str">
            <v>-</v>
          </cell>
          <cell r="F1826">
            <v>0</v>
          </cell>
          <cell r="G1826">
            <v>0</v>
          </cell>
          <cell r="H1826">
            <v>0</v>
          </cell>
          <cell r="I1826">
            <v>0</v>
          </cell>
        </row>
        <row r="1827">
          <cell r="C1827">
            <v>0</v>
          </cell>
          <cell r="D1827" t="str">
            <v>SUB TOTAL MANO DE OBRA</v>
          </cell>
          <cell r="E1827">
            <v>0</v>
          </cell>
          <cell r="F1827">
            <v>0</v>
          </cell>
          <cell r="G1827">
            <v>0</v>
          </cell>
          <cell r="H1827">
            <v>1485</v>
          </cell>
          <cell r="I1827">
            <v>0</v>
          </cell>
        </row>
        <row r="1828">
          <cell r="C1828">
            <v>0</v>
          </cell>
          <cell r="D1828" t="str">
            <v>C- EQUIPOS:</v>
          </cell>
          <cell r="E1828">
            <v>0</v>
          </cell>
          <cell r="F1828">
            <v>0</v>
          </cell>
          <cell r="G1828">
            <v>0</v>
          </cell>
          <cell r="H1828">
            <v>0</v>
          </cell>
          <cell r="I1828">
            <v>0</v>
          </cell>
        </row>
        <row r="1829">
          <cell r="C1829">
            <v>0</v>
          </cell>
          <cell r="D1829" t="str">
            <v>Herramientas de Mano</v>
          </cell>
          <cell r="E1829" t="str">
            <v>gl</v>
          </cell>
          <cell r="F1829">
            <v>430.56959999999998</v>
          </cell>
          <cell r="G1829">
            <v>1</v>
          </cell>
          <cell r="H1829">
            <v>430.56959999999998</v>
          </cell>
          <cell r="I1829">
            <v>0</v>
          </cell>
        </row>
        <row r="1830">
          <cell r="C1830">
            <v>0</v>
          </cell>
          <cell r="D1830" t="str">
            <v>-</v>
          </cell>
          <cell r="E1830" t="str">
            <v>-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</row>
        <row r="1831">
          <cell r="C1831">
            <v>0</v>
          </cell>
          <cell r="D1831" t="str">
            <v>-</v>
          </cell>
          <cell r="E1831" t="str">
            <v>-</v>
          </cell>
          <cell r="F1831">
            <v>0</v>
          </cell>
          <cell r="G1831">
            <v>0</v>
          </cell>
          <cell r="H1831">
            <v>0</v>
          </cell>
          <cell r="I1831">
            <v>0</v>
          </cell>
        </row>
        <row r="1832">
          <cell r="C1832">
            <v>0</v>
          </cell>
          <cell r="D1832" t="str">
            <v>-</v>
          </cell>
          <cell r="E1832" t="str">
            <v>-</v>
          </cell>
          <cell r="F1832">
            <v>0</v>
          </cell>
          <cell r="G1832">
            <v>0</v>
          </cell>
          <cell r="H1832">
            <v>0</v>
          </cell>
          <cell r="I1832">
            <v>0</v>
          </cell>
        </row>
        <row r="1833">
          <cell r="C1833">
            <v>0</v>
          </cell>
          <cell r="D1833" t="str">
            <v>-</v>
          </cell>
          <cell r="E1833" t="str">
            <v>-</v>
          </cell>
          <cell r="F1833">
            <v>0</v>
          </cell>
          <cell r="G1833">
            <v>0</v>
          </cell>
          <cell r="H1833">
            <v>0</v>
          </cell>
          <cell r="I1833">
            <v>0</v>
          </cell>
        </row>
        <row r="1834">
          <cell r="C1834">
            <v>0</v>
          </cell>
          <cell r="D1834" t="str">
            <v>SUB TOTAL EQUIPOS</v>
          </cell>
          <cell r="E1834">
            <v>0</v>
          </cell>
          <cell r="F1834">
            <v>0</v>
          </cell>
          <cell r="G1834">
            <v>0</v>
          </cell>
          <cell r="H1834">
            <v>430.56959999999998</v>
          </cell>
          <cell r="I1834">
            <v>0</v>
          </cell>
        </row>
        <row r="1835">
          <cell r="C1835">
            <v>0</v>
          </cell>
          <cell r="D1835">
            <v>0</v>
          </cell>
          <cell r="E1835">
            <v>0</v>
          </cell>
          <cell r="F1835">
            <v>0</v>
          </cell>
          <cell r="G1835">
            <v>0</v>
          </cell>
          <cell r="H1835">
            <v>0</v>
          </cell>
          <cell r="I1835">
            <v>0</v>
          </cell>
        </row>
        <row r="1836">
          <cell r="B1836">
            <v>34</v>
          </cell>
          <cell r="C1836">
            <v>0</v>
          </cell>
          <cell r="D1836" t="str">
            <v>COSTO-COSTO</v>
          </cell>
          <cell r="E1836">
            <v>0</v>
          </cell>
          <cell r="F1836">
            <v>0</v>
          </cell>
          <cell r="G1836">
            <v>0</v>
          </cell>
          <cell r="H1836">
            <v>14782.8896</v>
          </cell>
          <cell r="I1836">
            <v>0</v>
          </cell>
        </row>
        <row r="1837">
          <cell r="C1837">
            <v>0</v>
          </cell>
          <cell r="D1837" t="str">
            <v>GASTO FINANCIERO</v>
          </cell>
          <cell r="E1837">
            <v>0</v>
          </cell>
          <cell r="F1837">
            <v>0</v>
          </cell>
          <cell r="G1837">
            <v>0.02</v>
          </cell>
          <cell r="H1837">
            <v>295.65779200000003</v>
          </cell>
          <cell r="I1837">
            <v>0</v>
          </cell>
        </row>
        <row r="1838">
          <cell r="C1838">
            <v>0</v>
          </cell>
          <cell r="D1838" t="str">
            <v>SUB TOTAL</v>
          </cell>
          <cell r="E1838">
            <v>0</v>
          </cell>
          <cell r="F1838">
            <v>0</v>
          </cell>
          <cell r="G1838">
            <v>0</v>
          </cell>
          <cell r="H1838">
            <v>15078.547392</v>
          </cell>
          <cell r="I1838">
            <v>0</v>
          </cell>
        </row>
        <row r="1839">
          <cell r="C1839">
            <v>0</v>
          </cell>
          <cell r="D1839" t="str">
            <v>GASTOS GENERALES</v>
          </cell>
          <cell r="E1839">
            <v>0</v>
          </cell>
          <cell r="F1839">
            <v>0</v>
          </cell>
          <cell r="G1839">
            <v>0.35116211482007981</v>
          </cell>
          <cell r="H1839">
            <v>5295.0145905895188</v>
          </cell>
          <cell r="I1839">
            <v>0</v>
          </cell>
        </row>
        <row r="1840">
          <cell r="C1840">
            <v>0</v>
          </cell>
          <cell r="D1840" t="str">
            <v>BENEFICIO</v>
          </cell>
          <cell r="E1840">
            <v>0</v>
          </cell>
          <cell r="F1840">
            <v>0</v>
          </cell>
          <cell r="G1840">
            <v>0.1</v>
          </cell>
          <cell r="H1840">
            <v>1507.8547392</v>
          </cell>
          <cell r="I1840">
            <v>0</v>
          </cell>
        </row>
        <row r="1841">
          <cell r="C1841">
            <v>0</v>
          </cell>
          <cell r="D1841" t="str">
            <v>COSTO TOTAL UNITARIO</v>
          </cell>
          <cell r="E1841">
            <v>0</v>
          </cell>
          <cell r="F1841">
            <v>0</v>
          </cell>
          <cell r="G1841">
            <v>0</v>
          </cell>
          <cell r="H1841">
            <v>21881.416721789519</v>
          </cell>
          <cell r="I1841">
            <v>0</v>
          </cell>
        </row>
        <row r="1842">
          <cell r="C1842">
            <v>0</v>
          </cell>
          <cell r="D1842" t="str">
            <v>IMPUETOS</v>
          </cell>
          <cell r="E1842">
            <v>0</v>
          </cell>
          <cell r="F1842" t="str">
            <v>IIBB</v>
          </cell>
          <cell r="G1842">
            <v>2.4E-2</v>
          </cell>
          <cell r="H1842">
            <v>525.15400132294849</v>
          </cell>
          <cell r="I1842">
            <v>0</v>
          </cell>
        </row>
        <row r="1843">
          <cell r="C1843">
            <v>0</v>
          </cell>
          <cell r="D1843">
            <v>0</v>
          </cell>
          <cell r="E1843">
            <v>0</v>
          </cell>
          <cell r="F1843" t="str">
            <v>IVA</v>
          </cell>
          <cell r="G1843">
            <v>0.21</v>
          </cell>
          <cell r="H1843">
            <v>4595.0975115757992</v>
          </cell>
          <cell r="I1843">
            <v>0</v>
          </cell>
        </row>
        <row r="1844">
          <cell r="C1844">
            <v>0</v>
          </cell>
          <cell r="D1844">
            <v>0</v>
          </cell>
          <cell r="E1844">
            <v>0</v>
          </cell>
          <cell r="F1844">
            <v>0</v>
          </cell>
          <cell r="G1844">
            <v>0</v>
          </cell>
          <cell r="H1844">
            <v>0</v>
          </cell>
          <cell r="I1844">
            <v>0</v>
          </cell>
        </row>
        <row r="1845">
          <cell r="C1845">
            <v>0</v>
          </cell>
          <cell r="D1845" t="str">
            <v>PRECIO TOTAL UNITARIO</v>
          </cell>
          <cell r="E1845">
            <v>0</v>
          </cell>
          <cell r="F1845">
            <v>0</v>
          </cell>
          <cell r="G1845">
            <v>0</v>
          </cell>
          <cell r="H1845">
            <v>27001.668234688266</v>
          </cell>
          <cell r="I1845">
            <v>0</v>
          </cell>
        </row>
        <row r="1846">
          <cell r="C1846">
            <v>0</v>
          </cell>
          <cell r="D1846">
            <v>0</v>
          </cell>
          <cell r="E1846">
            <v>0</v>
          </cell>
          <cell r="F1846">
            <v>0</v>
          </cell>
          <cell r="G1846">
            <v>0</v>
          </cell>
          <cell r="H1846">
            <v>0</v>
          </cell>
          <cell r="I1846">
            <v>0</v>
          </cell>
        </row>
        <row r="1847">
          <cell r="C1847">
            <v>0</v>
          </cell>
          <cell r="D1847">
            <v>0</v>
          </cell>
          <cell r="E1847">
            <v>0</v>
          </cell>
          <cell r="F1847">
            <v>0</v>
          </cell>
          <cell r="G1847">
            <v>0</v>
          </cell>
          <cell r="H1847">
            <v>0</v>
          </cell>
          <cell r="I1847">
            <v>0</v>
          </cell>
        </row>
        <row r="1848">
          <cell r="C1848">
            <v>0</v>
          </cell>
          <cell r="D1848" t="str">
            <v>Rubro:</v>
          </cell>
          <cell r="E1848">
            <v>9</v>
          </cell>
          <cell r="F1848" t="str">
            <v>Instalaciones</v>
          </cell>
          <cell r="G1848" t="e">
            <v>#NAME?</v>
          </cell>
          <cell r="H1848" t="e">
            <v>#NAME?</v>
          </cell>
          <cell r="I1848">
            <v>0</v>
          </cell>
        </row>
        <row r="1849">
          <cell r="C1849">
            <v>0</v>
          </cell>
          <cell r="D1849" t="str">
            <v>Sub Rubro:</v>
          </cell>
          <cell r="E1849">
            <v>9.5</v>
          </cell>
          <cell r="F1849" t="str">
            <v>Aire Acondicionado</v>
          </cell>
          <cell r="G1849" t="e">
            <v>#NAME?</v>
          </cell>
          <cell r="H1849" t="e">
            <v>#NAME?</v>
          </cell>
          <cell r="I1849">
            <v>0</v>
          </cell>
        </row>
        <row r="1850">
          <cell r="C1850">
            <v>0</v>
          </cell>
          <cell r="D1850" t="str">
            <v>Ítem:</v>
          </cell>
          <cell r="E1850">
            <v>9.5</v>
          </cell>
          <cell r="F1850" t="str">
            <v>Aire Acondicionado</v>
          </cell>
          <cell r="G1850" t="e">
            <v>#NAME?</v>
          </cell>
          <cell r="H1850" t="e">
            <v>#NAME?</v>
          </cell>
          <cell r="I1850">
            <v>0</v>
          </cell>
        </row>
        <row r="1851">
          <cell r="C1851">
            <v>0</v>
          </cell>
          <cell r="D1851" t="str">
            <v>Unida:</v>
          </cell>
          <cell r="E1851" t="str">
            <v>gl</v>
          </cell>
          <cell r="F1851">
            <v>0</v>
          </cell>
          <cell r="G1851">
            <v>0</v>
          </cell>
          <cell r="H1851">
            <v>0</v>
          </cell>
          <cell r="I1851">
            <v>0</v>
          </cell>
        </row>
        <row r="1852">
          <cell r="C1852">
            <v>0</v>
          </cell>
          <cell r="D1852" t="str">
            <v>DENOMINACION</v>
          </cell>
          <cell r="E1852" t="str">
            <v>UNIDAD</v>
          </cell>
          <cell r="F1852" t="str">
            <v>COSTO UNITARIO</v>
          </cell>
          <cell r="G1852" t="str">
            <v>RENDIMIENTO POR UNIDAD</v>
          </cell>
          <cell r="H1852" t="str">
            <v>COSTO PARCIAL</v>
          </cell>
          <cell r="I1852">
            <v>0</v>
          </cell>
        </row>
        <row r="1853">
          <cell r="C1853">
            <v>0</v>
          </cell>
          <cell r="D1853" t="str">
            <v>A- MATERIALES:</v>
          </cell>
          <cell r="E1853">
            <v>0</v>
          </cell>
          <cell r="F1853">
            <v>0</v>
          </cell>
          <cell r="G1853">
            <v>0</v>
          </cell>
          <cell r="H1853">
            <v>0</v>
          </cell>
          <cell r="I1853">
            <v>0</v>
          </cell>
        </row>
        <row r="1854">
          <cell r="C1854">
            <v>0</v>
          </cell>
          <cell r="D1854" t="str">
            <v>Split BGH Pro 2300 frig. FC</v>
          </cell>
          <cell r="E1854" t="str">
            <v>un</v>
          </cell>
          <cell r="F1854">
            <v>4794.0934999999999</v>
          </cell>
          <cell r="G1854">
            <v>2</v>
          </cell>
          <cell r="H1854">
            <v>9588.1869999999999</v>
          </cell>
          <cell r="I1854">
            <v>0</v>
          </cell>
        </row>
        <row r="1855">
          <cell r="C1855">
            <v>0</v>
          </cell>
          <cell r="D1855" t="str">
            <v>Split BGH Pro 3000 frig. FC</v>
          </cell>
          <cell r="E1855" t="str">
            <v>un</v>
          </cell>
          <cell r="F1855">
            <v>5450.1404999999995</v>
          </cell>
          <cell r="G1855">
            <v>2</v>
          </cell>
          <cell r="H1855">
            <v>10900.280999999999</v>
          </cell>
          <cell r="I1855">
            <v>0</v>
          </cell>
        </row>
        <row r="1856">
          <cell r="C1856">
            <v>0</v>
          </cell>
          <cell r="D1856" t="str">
            <v>Split BGH Pro 6000 frig. FC</v>
          </cell>
          <cell r="E1856" t="str">
            <v>un</v>
          </cell>
          <cell r="F1856">
            <v>11257.808000000001</v>
          </cell>
          <cell r="G1856">
            <v>3</v>
          </cell>
          <cell r="H1856">
            <v>33773.423999999999</v>
          </cell>
          <cell r="I1856">
            <v>0</v>
          </cell>
        </row>
        <row r="1857">
          <cell r="C1857">
            <v>0</v>
          </cell>
          <cell r="D1857" t="str">
            <v>Cañeria Intercomunicacion Hasta 2TR</v>
          </cell>
          <cell r="E1857" t="str">
            <v>mts</v>
          </cell>
          <cell r="F1857">
            <v>185</v>
          </cell>
          <cell r="G1857">
            <v>21</v>
          </cell>
          <cell r="H1857">
            <v>3885</v>
          </cell>
          <cell r="I1857">
            <v>0</v>
          </cell>
        </row>
        <row r="1858">
          <cell r="C1858">
            <v>0</v>
          </cell>
          <cell r="D1858" t="str">
            <v>Caño PVC 25</v>
          </cell>
          <cell r="E1858" t="str">
            <v>mts</v>
          </cell>
          <cell r="F1858">
            <v>4.8899999999999997</v>
          </cell>
          <cell r="G1858">
            <v>80</v>
          </cell>
          <cell r="H1858">
            <v>391.2</v>
          </cell>
          <cell r="I1858">
            <v>0</v>
          </cell>
        </row>
        <row r="1859">
          <cell r="C1859">
            <v>0</v>
          </cell>
          <cell r="D1859" t="str">
            <v>Codos PVC 25</v>
          </cell>
          <cell r="E1859" t="str">
            <v>un</v>
          </cell>
          <cell r="F1859">
            <v>3.3</v>
          </cell>
          <cell r="G1859">
            <v>25</v>
          </cell>
          <cell r="H1859">
            <v>82.5</v>
          </cell>
          <cell r="I1859">
            <v>0</v>
          </cell>
        </row>
        <row r="1860">
          <cell r="C1860">
            <v>0</v>
          </cell>
          <cell r="D1860" t="str">
            <v>Caja metalica 20x20x10</v>
          </cell>
          <cell r="E1860" t="str">
            <v>Un</v>
          </cell>
          <cell r="F1860">
            <v>64.099999999999994</v>
          </cell>
          <cell r="G1860">
            <v>7</v>
          </cell>
          <cell r="H1860">
            <v>448.69999999999993</v>
          </cell>
          <cell r="I1860">
            <v>0</v>
          </cell>
        </row>
        <row r="1861">
          <cell r="C1861">
            <v>0</v>
          </cell>
          <cell r="D1861">
            <v>0</v>
          </cell>
          <cell r="E1861" t="str">
            <v>-</v>
          </cell>
          <cell r="F1861">
            <v>0</v>
          </cell>
          <cell r="G1861">
            <v>0</v>
          </cell>
          <cell r="H1861">
            <v>0</v>
          </cell>
          <cell r="I1861">
            <v>0</v>
          </cell>
        </row>
        <row r="1862">
          <cell r="C1862">
            <v>0</v>
          </cell>
          <cell r="D1862">
            <v>0</v>
          </cell>
          <cell r="E1862" t="str">
            <v>-</v>
          </cell>
          <cell r="F1862">
            <v>0</v>
          </cell>
          <cell r="G1862">
            <v>0</v>
          </cell>
          <cell r="H1862">
            <v>0</v>
          </cell>
          <cell r="I1862">
            <v>0</v>
          </cell>
        </row>
        <row r="1863">
          <cell r="C1863">
            <v>0</v>
          </cell>
          <cell r="D1863">
            <v>0</v>
          </cell>
          <cell r="E1863" t="str">
            <v>-</v>
          </cell>
          <cell r="F1863">
            <v>0</v>
          </cell>
          <cell r="G1863">
            <v>0</v>
          </cell>
          <cell r="H1863">
            <v>0</v>
          </cell>
          <cell r="I1863">
            <v>0</v>
          </cell>
        </row>
        <row r="1864">
          <cell r="C1864">
            <v>0</v>
          </cell>
          <cell r="D1864">
            <v>0</v>
          </cell>
          <cell r="E1864" t="str">
            <v>-</v>
          </cell>
          <cell r="F1864">
            <v>0</v>
          </cell>
          <cell r="G1864">
            <v>0</v>
          </cell>
          <cell r="H1864">
            <v>0</v>
          </cell>
          <cell r="I1864">
            <v>0</v>
          </cell>
        </row>
        <row r="1865">
          <cell r="C1865">
            <v>0</v>
          </cell>
          <cell r="D1865">
            <v>0</v>
          </cell>
          <cell r="E1865" t="str">
            <v>-</v>
          </cell>
          <cell r="F1865">
            <v>0</v>
          </cell>
          <cell r="G1865">
            <v>0</v>
          </cell>
          <cell r="H1865">
            <v>0</v>
          </cell>
          <cell r="I1865">
            <v>0</v>
          </cell>
        </row>
        <row r="1866">
          <cell r="C1866">
            <v>0</v>
          </cell>
          <cell r="D1866">
            <v>0</v>
          </cell>
          <cell r="E1866" t="str">
            <v>-</v>
          </cell>
          <cell r="F1866">
            <v>0</v>
          </cell>
          <cell r="G1866">
            <v>0</v>
          </cell>
          <cell r="H1866">
            <v>0</v>
          </cell>
          <cell r="I1866">
            <v>0</v>
          </cell>
        </row>
        <row r="1867">
          <cell r="C1867">
            <v>0</v>
          </cell>
          <cell r="D1867">
            <v>0</v>
          </cell>
          <cell r="E1867" t="str">
            <v>-</v>
          </cell>
          <cell r="F1867">
            <v>0</v>
          </cell>
          <cell r="G1867">
            <v>0</v>
          </cell>
          <cell r="H1867">
            <v>0</v>
          </cell>
          <cell r="I1867">
            <v>0</v>
          </cell>
        </row>
        <row r="1868">
          <cell r="C1868">
            <v>0</v>
          </cell>
          <cell r="D1868">
            <v>0</v>
          </cell>
          <cell r="E1868" t="str">
            <v>-</v>
          </cell>
          <cell r="F1868">
            <v>0</v>
          </cell>
          <cell r="G1868">
            <v>0</v>
          </cell>
          <cell r="H1868">
            <v>0</v>
          </cell>
          <cell r="I1868">
            <v>0</v>
          </cell>
        </row>
        <row r="1869">
          <cell r="C1869">
            <v>0</v>
          </cell>
          <cell r="D1869">
            <v>0</v>
          </cell>
          <cell r="E1869" t="str">
            <v>-</v>
          </cell>
          <cell r="F1869">
            <v>0</v>
          </cell>
          <cell r="G1869">
            <v>0</v>
          </cell>
          <cell r="H1869">
            <v>0</v>
          </cell>
          <cell r="I1869">
            <v>0</v>
          </cell>
        </row>
        <row r="1870">
          <cell r="C1870">
            <v>0</v>
          </cell>
          <cell r="D1870">
            <v>0</v>
          </cell>
          <cell r="E1870" t="str">
            <v>-</v>
          </cell>
          <cell r="F1870">
            <v>0</v>
          </cell>
          <cell r="G1870">
            <v>0</v>
          </cell>
          <cell r="H1870">
            <v>0</v>
          </cell>
          <cell r="I1870">
            <v>0</v>
          </cell>
        </row>
        <row r="1871">
          <cell r="C1871">
            <v>0</v>
          </cell>
          <cell r="D1871">
            <v>0</v>
          </cell>
          <cell r="E1871" t="str">
            <v>-</v>
          </cell>
          <cell r="F1871">
            <v>0</v>
          </cell>
          <cell r="G1871">
            <v>0</v>
          </cell>
          <cell r="H1871">
            <v>0</v>
          </cell>
          <cell r="I1871">
            <v>0</v>
          </cell>
        </row>
        <row r="1872">
          <cell r="C1872">
            <v>0</v>
          </cell>
          <cell r="D1872">
            <v>0</v>
          </cell>
          <cell r="E1872" t="str">
            <v>-</v>
          </cell>
          <cell r="F1872">
            <v>0</v>
          </cell>
          <cell r="G1872">
            <v>0</v>
          </cell>
          <cell r="H1872">
            <v>0</v>
          </cell>
          <cell r="I1872">
            <v>0</v>
          </cell>
        </row>
        <row r="1873">
          <cell r="C1873">
            <v>0</v>
          </cell>
          <cell r="D1873">
            <v>0</v>
          </cell>
          <cell r="E1873" t="str">
            <v>-</v>
          </cell>
          <cell r="F1873">
            <v>0</v>
          </cell>
          <cell r="G1873">
            <v>0</v>
          </cell>
          <cell r="H1873">
            <v>0</v>
          </cell>
          <cell r="I1873">
            <v>0</v>
          </cell>
        </row>
        <row r="1874">
          <cell r="C1874">
            <v>0</v>
          </cell>
          <cell r="D1874" t="str">
            <v>SUB TOTAL MATERIALES</v>
          </cell>
          <cell r="E1874">
            <v>0</v>
          </cell>
          <cell r="F1874">
            <v>0</v>
          </cell>
          <cell r="G1874">
            <v>0</v>
          </cell>
          <cell r="H1874">
            <v>59069.291999999994</v>
          </cell>
          <cell r="I1874">
            <v>0</v>
          </cell>
        </row>
        <row r="1875">
          <cell r="C1875">
            <v>0</v>
          </cell>
          <cell r="D1875" t="str">
            <v>B- MANO DE OBRA:</v>
          </cell>
          <cell r="E1875">
            <v>0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</row>
        <row r="1876">
          <cell r="C1876">
            <v>0</v>
          </cell>
          <cell r="D1876" t="str">
            <v>Oficial</v>
          </cell>
          <cell r="E1876" t="str">
            <v>hs</v>
          </cell>
          <cell r="F1876">
            <v>56.619016000000002</v>
          </cell>
          <cell r="G1876">
            <v>75</v>
          </cell>
          <cell r="H1876">
            <v>4246.4261999999999</v>
          </cell>
          <cell r="I1876">
            <v>0</v>
          </cell>
        </row>
        <row r="1877">
          <cell r="C1877">
            <v>0</v>
          </cell>
          <cell r="D1877" t="str">
            <v>Ayudante</v>
          </cell>
          <cell r="E1877" t="str">
            <v>hs</v>
          </cell>
          <cell r="F1877">
            <v>48.396512000000008</v>
          </cell>
          <cell r="G1877">
            <v>43</v>
          </cell>
          <cell r="H1877">
            <v>2081.0500160000001</v>
          </cell>
          <cell r="I1877">
            <v>0</v>
          </cell>
        </row>
        <row r="1878">
          <cell r="C1878">
            <v>0</v>
          </cell>
          <cell r="D1878" t="str">
            <v>-</v>
          </cell>
          <cell r="E1878" t="str">
            <v>-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</row>
        <row r="1879">
          <cell r="C1879">
            <v>0</v>
          </cell>
          <cell r="D1879" t="str">
            <v>-</v>
          </cell>
          <cell r="E1879" t="str">
            <v>-</v>
          </cell>
          <cell r="F1879">
            <v>0</v>
          </cell>
          <cell r="G1879">
            <v>0</v>
          </cell>
          <cell r="H1879">
            <v>0</v>
          </cell>
          <cell r="I1879">
            <v>0</v>
          </cell>
        </row>
        <row r="1880">
          <cell r="C1880">
            <v>0</v>
          </cell>
          <cell r="D1880" t="str">
            <v>-</v>
          </cell>
          <cell r="E1880" t="str">
            <v>-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</row>
        <row r="1881">
          <cell r="C1881">
            <v>0</v>
          </cell>
          <cell r="D1881" t="str">
            <v>SUB TOTAL MANO DE OBRA</v>
          </cell>
          <cell r="E1881">
            <v>0</v>
          </cell>
          <cell r="F1881">
            <v>0</v>
          </cell>
          <cell r="G1881">
            <v>0</v>
          </cell>
          <cell r="H1881">
            <v>6327.476216</v>
          </cell>
          <cell r="I1881">
            <v>0</v>
          </cell>
        </row>
        <row r="1882">
          <cell r="C1882">
            <v>0</v>
          </cell>
          <cell r="D1882" t="str">
            <v>C- EQUIPOS:</v>
          </cell>
          <cell r="E1882">
            <v>0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</row>
        <row r="1883">
          <cell r="C1883">
            <v>0</v>
          </cell>
          <cell r="D1883" t="str">
            <v>Herramientas de Mano</v>
          </cell>
          <cell r="E1883" t="str">
            <v>gl</v>
          </cell>
          <cell r="F1883">
            <v>1961.9030464799998</v>
          </cell>
          <cell r="G1883">
            <v>1</v>
          </cell>
          <cell r="H1883">
            <v>1961.9030464799998</v>
          </cell>
          <cell r="I1883">
            <v>0</v>
          </cell>
        </row>
        <row r="1884">
          <cell r="C1884">
            <v>0</v>
          </cell>
          <cell r="D1884" t="str">
            <v>-</v>
          </cell>
          <cell r="E1884" t="str">
            <v>-</v>
          </cell>
          <cell r="F1884">
            <v>0</v>
          </cell>
          <cell r="G1884">
            <v>0</v>
          </cell>
          <cell r="H1884">
            <v>0</v>
          </cell>
          <cell r="I1884">
            <v>0</v>
          </cell>
        </row>
        <row r="1885">
          <cell r="C1885">
            <v>0</v>
          </cell>
          <cell r="D1885" t="str">
            <v>-</v>
          </cell>
          <cell r="E1885" t="str">
            <v>-</v>
          </cell>
          <cell r="F1885">
            <v>0</v>
          </cell>
          <cell r="G1885">
            <v>0</v>
          </cell>
          <cell r="H1885">
            <v>0</v>
          </cell>
          <cell r="I1885">
            <v>0</v>
          </cell>
        </row>
        <row r="1886">
          <cell r="C1886">
            <v>0</v>
          </cell>
          <cell r="D1886" t="str">
            <v>-</v>
          </cell>
          <cell r="E1886" t="str">
            <v>-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</row>
        <row r="1887">
          <cell r="C1887">
            <v>0</v>
          </cell>
          <cell r="D1887" t="str">
            <v>-</v>
          </cell>
          <cell r="E1887" t="str">
            <v>-</v>
          </cell>
          <cell r="F1887">
            <v>0</v>
          </cell>
          <cell r="G1887">
            <v>0</v>
          </cell>
          <cell r="H1887">
            <v>0</v>
          </cell>
          <cell r="I1887">
            <v>0</v>
          </cell>
        </row>
        <row r="1888">
          <cell r="C1888">
            <v>0</v>
          </cell>
          <cell r="D1888" t="str">
            <v>SUB TOTAL EQUIPOS</v>
          </cell>
          <cell r="E1888">
            <v>0</v>
          </cell>
          <cell r="F1888">
            <v>0</v>
          </cell>
          <cell r="G1888">
            <v>0</v>
          </cell>
          <cell r="H1888">
            <v>1961.9030464799998</v>
          </cell>
          <cell r="I1888">
            <v>0</v>
          </cell>
        </row>
        <row r="1889">
          <cell r="C1889">
            <v>0</v>
          </cell>
          <cell r="D1889">
            <v>0</v>
          </cell>
          <cell r="E1889">
            <v>0</v>
          </cell>
          <cell r="F1889">
            <v>0</v>
          </cell>
          <cell r="G1889">
            <v>0</v>
          </cell>
          <cell r="H1889">
            <v>0</v>
          </cell>
          <cell r="I1889">
            <v>0</v>
          </cell>
        </row>
        <row r="1890">
          <cell r="B1890">
            <v>35</v>
          </cell>
          <cell r="C1890">
            <v>0</v>
          </cell>
          <cell r="D1890" t="str">
            <v>COSTO-COSTO</v>
          </cell>
          <cell r="E1890">
            <v>0</v>
          </cell>
          <cell r="F1890">
            <v>0</v>
          </cell>
          <cell r="G1890">
            <v>0</v>
          </cell>
          <cell r="H1890">
            <v>67358.671262479998</v>
          </cell>
          <cell r="I1890">
            <v>0</v>
          </cell>
        </row>
        <row r="1891">
          <cell r="C1891">
            <v>0</v>
          </cell>
          <cell r="D1891" t="str">
            <v>GASTO FINANCIERO</v>
          </cell>
          <cell r="E1891">
            <v>0</v>
          </cell>
          <cell r="F1891">
            <v>0</v>
          </cell>
          <cell r="G1891">
            <v>0.02</v>
          </cell>
          <cell r="H1891">
            <v>1347.1734252496001</v>
          </cell>
          <cell r="I1891">
            <v>0</v>
          </cell>
        </row>
        <row r="1892">
          <cell r="C1892">
            <v>0</v>
          </cell>
          <cell r="D1892" t="str">
            <v>SUB TOTAL</v>
          </cell>
          <cell r="E1892">
            <v>0</v>
          </cell>
          <cell r="F1892">
            <v>0</v>
          </cell>
          <cell r="G1892">
            <v>0</v>
          </cell>
          <cell r="H1892">
            <v>68705.844687729594</v>
          </cell>
          <cell r="I1892">
            <v>0</v>
          </cell>
        </row>
        <row r="1893">
          <cell r="C1893">
            <v>0</v>
          </cell>
          <cell r="D1893" t="str">
            <v>GASTOS GENERALES</v>
          </cell>
          <cell r="E1893">
            <v>0</v>
          </cell>
          <cell r="F1893">
            <v>0</v>
          </cell>
          <cell r="G1893">
            <v>0.35116211482007981</v>
          </cell>
          <cell r="H1893">
            <v>24126.88972104307</v>
          </cell>
          <cell r="I1893">
            <v>0</v>
          </cell>
        </row>
        <row r="1894">
          <cell r="C1894">
            <v>0</v>
          </cell>
          <cell r="D1894" t="str">
            <v>BENEFICIO</v>
          </cell>
          <cell r="E1894">
            <v>0</v>
          </cell>
          <cell r="F1894">
            <v>0</v>
          </cell>
          <cell r="G1894">
            <v>0.1</v>
          </cell>
          <cell r="H1894">
            <v>6870.5844687729596</v>
          </cell>
          <cell r="I1894">
            <v>0</v>
          </cell>
        </row>
        <row r="1895">
          <cell r="C1895">
            <v>0</v>
          </cell>
          <cell r="D1895" t="str">
            <v>COSTO TOTAL UNITARIO</v>
          </cell>
          <cell r="E1895">
            <v>0</v>
          </cell>
          <cell r="F1895">
            <v>0</v>
          </cell>
          <cell r="G1895">
            <v>0</v>
          </cell>
          <cell r="H1895">
            <v>99703.318877545622</v>
          </cell>
          <cell r="I1895">
            <v>0</v>
          </cell>
        </row>
        <row r="1896">
          <cell r="C1896">
            <v>0</v>
          </cell>
          <cell r="D1896" t="str">
            <v>IMPUETOS</v>
          </cell>
          <cell r="E1896">
            <v>0</v>
          </cell>
          <cell r="F1896" t="str">
            <v>IIBB</v>
          </cell>
          <cell r="G1896">
            <v>2.4E-2</v>
          </cell>
          <cell r="H1896">
            <v>2392.8796530610948</v>
          </cell>
          <cell r="I1896">
            <v>0</v>
          </cell>
        </row>
        <row r="1897">
          <cell r="C1897">
            <v>0</v>
          </cell>
          <cell r="D1897">
            <v>0</v>
          </cell>
          <cell r="E1897">
            <v>0</v>
          </cell>
          <cell r="F1897" t="str">
            <v>IVA</v>
          </cell>
          <cell r="G1897">
            <v>0.21</v>
          </cell>
          <cell r="H1897">
            <v>20937.69696428458</v>
          </cell>
          <cell r="I1897">
            <v>0</v>
          </cell>
        </row>
        <row r="1898">
          <cell r="C1898">
            <v>0</v>
          </cell>
          <cell r="D1898">
            <v>0</v>
          </cell>
          <cell r="E1898">
            <v>0</v>
          </cell>
          <cell r="F1898">
            <v>0</v>
          </cell>
          <cell r="G1898">
            <v>0</v>
          </cell>
          <cell r="H1898">
            <v>0</v>
          </cell>
          <cell r="I1898">
            <v>0</v>
          </cell>
        </row>
        <row r="1899">
          <cell r="C1899">
            <v>0</v>
          </cell>
          <cell r="D1899" t="str">
            <v>PRECIO TOTAL UNITARIO</v>
          </cell>
          <cell r="E1899">
            <v>0</v>
          </cell>
          <cell r="F1899">
            <v>0</v>
          </cell>
          <cell r="G1899">
            <v>0</v>
          </cell>
          <cell r="H1899">
            <v>123033.8954948913</v>
          </cell>
          <cell r="I1899">
            <v>0</v>
          </cell>
        </row>
        <row r="1900">
          <cell r="C1900">
            <v>0</v>
          </cell>
          <cell r="D1900">
            <v>0</v>
          </cell>
          <cell r="E1900">
            <v>0</v>
          </cell>
          <cell r="F1900">
            <v>0</v>
          </cell>
          <cell r="G1900">
            <v>0</v>
          </cell>
          <cell r="H1900">
            <v>0</v>
          </cell>
          <cell r="I1900">
            <v>0</v>
          </cell>
        </row>
        <row r="1901">
          <cell r="C1901">
            <v>0</v>
          </cell>
          <cell r="D1901">
            <v>0</v>
          </cell>
          <cell r="E1901">
            <v>0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</row>
        <row r="1902">
          <cell r="C1902">
            <v>0</v>
          </cell>
          <cell r="D1902" t="str">
            <v>Rubro:</v>
          </cell>
          <cell r="E1902">
            <v>10</v>
          </cell>
          <cell r="F1902" t="str">
            <v xml:space="preserve">Pintura </v>
          </cell>
          <cell r="G1902" t="e">
            <v>#NAME?</v>
          </cell>
          <cell r="H1902" t="e">
            <v>#NAME?</v>
          </cell>
          <cell r="I1902">
            <v>0</v>
          </cell>
        </row>
        <row r="1903">
          <cell r="C1903">
            <v>0</v>
          </cell>
          <cell r="D1903" t="str">
            <v>Sub Rubro:</v>
          </cell>
          <cell r="E1903">
            <v>10.1</v>
          </cell>
          <cell r="F1903" t="str">
            <v>Satinol en muros</v>
          </cell>
          <cell r="G1903" t="e">
            <v>#NAME?</v>
          </cell>
          <cell r="H1903" t="e">
            <v>#NAME?</v>
          </cell>
          <cell r="I1903">
            <v>0</v>
          </cell>
        </row>
        <row r="1904">
          <cell r="C1904">
            <v>0</v>
          </cell>
          <cell r="D1904" t="str">
            <v>Ítem:</v>
          </cell>
          <cell r="E1904">
            <v>10.1</v>
          </cell>
          <cell r="F1904" t="str">
            <v>Satinol en muros</v>
          </cell>
          <cell r="G1904" t="e">
            <v>#NAME?</v>
          </cell>
          <cell r="H1904" t="e">
            <v>#NAME?</v>
          </cell>
          <cell r="I1904">
            <v>0</v>
          </cell>
        </row>
        <row r="1905">
          <cell r="C1905">
            <v>0</v>
          </cell>
          <cell r="D1905" t="str">
            <v>Unida:</v>
          </cell>
          <cell r="E1905" t="str">
            <v>m²</v>
          </cell>
          <cell r="F1905">
            <v>0</v>
          </cell>
          <cell r="G1905">
            <v>0</v>
          </cell>
          <cell r="H1905">
            <v>0</v>
          </cell>
          <cell r="I1905">
            <v>0</v>
          </cell>
        </row>
        <row r="1906">
          <cell r="C1906">
            <v>0</v>
          </cell>
          <cell r="D1906" t="str">
            <v>DENOMINACION</v>
          </cell>
          <cell r="E1906" t="str">
            <v>UNIDAD</v>
          </cell>
          <cell r="F1906" t="str">
            <v>COSTO UNITARIO</v>
          </cell>
          <cell r="G1906" t="str">
            <v>RENDIMIENTO POR UNIDAD</v>
          </cell>
          <cell r="H1906" t="str">
            <v>COSTO PARCIAL</v>
          </cell>
          <cell r="I1906">
            <v>0</v>
          </cell>
        </row>
        <row r="1907">
          <cell r="C1907">
            <v>0</v>
          </cell>
          <cell r="D1907" t="str">
            <v>A- MATERIALES:</v>
          </cell>
          <cell r="E1907">
            <v>0</v>
          </cell>
          <cell r="F1907">
            <v>0</v>
          </cell>
          <cell r="G1907">
            <v>0</v>
          </cell>
          <cell r="H1907">
            <v>0</v>
          </cell>
          <cell r="I1907">
            <v>0</v>
          </cell>
        </row>
        <row r="1908">
          <cell r="C1908">
            <v>0</v>
          </cell>
          <cell r="D1908" t="str">
            <v>Satinol T</v>
          </cell>
          <cell r="E1908" t="str">
            <v>lts</v>
          </cell>
          <cell r="F1908">
            <v>48.327685950413226</v>
          </cell>
          <cell r="G1908">
            <v>0.3</v>
          </cell>
          <cell r="H1908">
            <v>14.498305785123968</v>
          </cell>
          <cell r="I1908">
            <v>0</v>
          </cell>
        </row>
        <row r="1909">
          <cell r="C1909">
            <v>0</v>
          </cell>
          <cell r="D1909" t="str">
            <v>Enduido Acrílico</v>
          </cell>
          <cell r="E1909" t="str">
            <v>kg</v>
          </cell>
          <cell r="F1909">
            <v>8.5444999999999993</v>
          </cell>
          <cell r="G1909">
            <v>0.5</v>
          </cell>
          <cell r="H1909">
            <v>4.2722499999999997</v>
          </cell>
          <cell r="I1909">
            <v>0</v>
          </cell>
        </row>
        <row r="1910">
          <cell r="C1910">
            <v>0</v>
          </cell>
          <cell r="D1910" t="str">
            <v>Pincel</v>
          </cell>
          <cell r="E1910" t="str">
            <v>un</v>
          </cell>
          <cell r="F1910">
            <v>24.793388429752067</v>
          </cell>
          <cell r="G1910">
            <v>0.01</v>
          </cell>
          <cell r="H1910">
            <v>0.24793388429752067</v>
          </cell>
          <cell r="I1910">
            <v>0</v>
          </cell>
        </row>
        <row r="1911">
          <cell r="C1911">
            <v>0</v>
          </cell>
          <cell r="D1911" t="str">
            <v>Rodillo Lana</v>
          </cell>
          <cell r="E1911" t="str">
            <v>un</v>
          </cell>
          <cell r="F1911">
            <v>43.553719008264466</v>
          </cell>
          <cell r="G1911">
            <v>0.01</v>
          </cell>
          <cell r="H1911">
            <v>0.43553719008264469</v>
          </cell>
          <cell r="I1911">
            <v>0</v>
          </cell>
        </row>
        <row r="1912">
          <cell r="C1912">
            <v>0</v>
          </cell>
          <cell r="D1912" t="str">
            <v>Fijador</v>
          </cell>
          <cell r="E1912" t="str">
            <v>lts</v>
          </cell>
          <cell r="F1912">
            <v>12.427999999999999</v>
          </cell>
          <cell r="G1912">
            <v>0.02</v>
          </cell>
          <cell r="H1912">
            <v>0.24855999999999998</v>
          </cell>
          <cell r="I1912">
            <v>0</v>
          </cell>
        </row>
        <row r="1913">
          <cell r="C1913">
            <v>0</v>
          </cell>
          <cell r="D1913">
            <v>0</v>
          </cell>
          <cell r="E1913" t="str">
            <v>-</v>
          </cell>
          <cell r="F1913">
            <v>0</v>
          </cell>
          <cell r="G1913">
            <v>0</v>
          </cell>
          <cell r="H1913">
            <v>0</v>
          </cell>
          <cell r="I1913">
            <v>0</v>
          </cell>
        </row>
        <row r="1914">
          <cell r="C1914">
            <v>0</v>
          </cell>
          <cell r="D1914">
            <v>0</v>
          </cell>
          <cell r="E1914" t="str">
            <v>-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</row>
        <row r="1915">
          <cell r="C1915">
            <v>0</v>
          </cell>
          <cell r="D1915">
            <v>0</v>
          </cell>
          <cell r="E1915" t="str">
            <v>-</v>
          </cell>
          <cell r="F1915">
            <v>0</v>
          </cell>
          <cell r="G1915">
            <v>0</v>
          </cell>
          <cell r="H1915">
            <v>0</v>
          </cell>
          <cell r="I1915">
            <v>0</v>
          </cell>
        </row>
        <row r="1916">
          <cell r="C1916">
            <v>0</v>
          </cell>
          <cell r="D1916">
            <v>0</v>
          </cell>
          <cell r="E1916" t="str">
            <v>-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</row>
        <row r="1917">
          <cell r="C1917">
            <v>0</v>
          </cell>
          <cell r="D1917">
            <v>0</v>
          </cell>
          <cell r="E1917" t="str">
            <v>-</v>
          </cell>
          <cell r="F1917">
            <v>0</v>
          </cell>
          <cell r="G1917">
            <v>0</v>
          </cell>
          <cell r="H1917">
            <v>0</v>
          </cell>
          <cell r="I1917">
            <v>0</v>
          </cell>
        </row>
        <row r="1918">
          <cell r="C1918">
            <v>0</v>
          </cell>
          <cell r="D1918">
            <v>0</v>
          </cell>
          <cell r="E1918" t="str">
            <v>-</v>
          </cell>
          <cell r="F1918">
            <v>0</v>
          </cell>
          <cell r="G1918">
            <v>0</v>
          </cell>
          <cell r="H1918">
            <v>0</v>
          </cell>
          <cell r="I1918">
            <v>0</v>
          </cell>
        </row>
        <row r="1919">
          <cell r="C1919">
            <v>0</v>
          </cell>
          <cell r="D1919">
            <v>0</v>
          </cell>
          <cell r="E1919" t="str">
            <v>-</v>
          </cell>
          <cell r="F1919">
            <v>0</v>
          </cell>
          <cell r="G1919">
            <v>0</v>
          </cell>
          <cell r="H1919">
            <v>0</v>
          </cell>
          <cell r="I1919">
            <v>0</v>
          </cell>
        </row>
        <row r="1920">
          <cell r="C1920">
            <v>0</v>
          </cell>
          <cell r="D1920">
            <v>0</v>
          </cell>
          <cell r="E1920" t="str">
            <v>-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</row>
        <row r="1921">
          <cell r="C1921">
            <v>0</v>
          </cell>
          <cell r="D1921">
            <v>0</v>
          </cell>
          <cell r="E1921" t="str">
            <v>-</v>
          </cell>
          <cell r="F1921">
            <v>0</v>
          </cell>
          <cell r="G1921">
            <v>0</v>
          </cell>
          <cell r="H1921">
            <v>0</v>
          </cell>
          <cell r="I1921">
            <v>0</v>
          </cell>
        </row>
        <row r="1922">
          <cell r="C1922">
            <v>0</v>
          </cell>
          <cell r="D1922">
            <v>0</v>
          </cell>
          <cell r="E1922" t="str">
            <v>-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</row>
        <row r="1923">
          <cell r="C1923">
            <v>0</v>
          </cell>
          <cell r="D1923">
            <v>0</v>
          </cell>
          <cell r="E1923" t="str">
            <v>-</v>
          </cell>
          <cell r="F1923">
            <v>0</v>
          </cell>
          <cell r="G1923">
            <v>0</v>
          </cell>
          <cell r="H1923">
            <v>0</v>
          </cell>
          <cell r="I1923">
            <v>0</v>
          </cell>
        </row>
        <row r="1924">
          <cell r="C1924">
            <v>0</v>
          </cell>
          <cell r="D1924">
            <v>0</v>
          </cell>
          <cell r="E1924" t="str">
            <v>-</v>
          </cell>
          <cell r="F1924">
            <v>0</v>
          </cell>
          <cell r="G1924">
            <v>0</v>
          </cell>
          <cell r="H1924">
            <v>0</v>
          </cell>
          <cell r="I1924">
            <v>0</v>
          </cell>
        </row>
        <row r="1925">
          <cell r="C1925">
            <v>0</v>
          </cell>
          <cell r="D1925">
            <v>0</v>
          </cell>
          <cell r="E1925" t="str">
            <v>-</v>
          </cell>
          <cell r="F1925">
            <v>0</v>
          </cell>
          <cell r="G1925">
            <v>0</v>
          </cell>
          <cell r="H1925">
            <v>0</v>
          </cell>
          <cell r="I1925">
            <v>0</v>
          </cell>
        </row>
        <row r="1926">
          <cell r="C1926">
            <v>0</v>
          </cell>
          <cell r="D1926">
            <v>0</v>
          </cell>
          <cell r="E1926" t="str">
            <v>-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</row>
        <row r="1927">
          <cell r="C1927">
            <v>0</v>
          </cell>
          <cell r="D1927">
            <v>0</v>
          </cell>
          <cell r="E1927" t="str">
            <v>-</v>
          </cell>
          <cell r="F1927">
            <v>0</v>
          </cell>
          <cell r="G1927">
            <v>0</v>
          </cell>
          <cell r="H1927">
            <v>0</v>
          </cell>
          <cell r="I1927">
            <v>0</v>
          </cell>
        </row>
        <row r="1928">
          <cell r="C1928">
            <v>0</v>
          </cell>
          <cell r="D1928" t="str">
            <v>SUB TOTAL MATERIALES</v>
          </cell>
          <cell r="E1928">
            <v>0</v>
          </cell>
          <cell r="F1928">
            <v>0</v>
          </cell>
          <cell r="G1928">
            <v>0</v>
          </cell>
          <cell r="H1928">
            <v>19.702586859504134</v>
          </cell>
          <cell r="I1928">
            <v>0</v>
          </cell>
        </row>
        <row r="1929">
          <cell r="C1929">
            <v>0</v>
          </cell>
          <cell r="D1929" t="str">
            <v>B- MANO DE OBRA:</v>
          </cell>
          <cell r="E1929">
            <v>0</v>
          </cell>
          <cell r="F1929">
            <v>0</v>
          </cell>
          <cell r="G1929">
            <v>0</v>
          </cell>
          <cell r="H1929">
            <v>0</v>
          </cell>
          <cell r="I1929">
            <v>0</v>
          </cell>
        </row>
        <row r="1930">
          <cell r="C1930">
            <v>0</v>
          </cell>
          <cell r="D1930" t="str">
            <v>Oficial</v>
          </cell>
          <cell r="E1930" t="str">
            <v>hs</v>
          </cell>
          <cell r="F1930">
            <v>56.619016000000002</v>
          </cell>
          <cell r="G1930">
            <v>0.6</v>
          </cell>
          <cell r="H1930">
            <v>33.971409600000001</v>
          </cell>
          <cell r="I1930">
            <v>0</v>
          </cell>
        </row>
        <row r="1931">
          <cell r="C1931">
            <v>0</v>
          </cell>
          <cell r="D1931" t="str">
            <v>Ayudante</v>
          </cell>
          <cell r="E1931" t="str">
            <v>hs</v>
          </cell>
          <cell r="F1931">
            <v>48.396512000000008</v>
          </cell>
          <cell r="G1931">
            <v>0.26</v>
          </cell>
          <cell r="H1931">
            <v>12.583093120000003</v>
          </cell>
          <cell r="I1931">
            <v>0</v>
          </cell>
        </row>
        <row r="1932">
          <cell r="C1932">
            <v>0</v>
          </cell>
          <cell r="D1932" t="str">
            <v>-</v>
          </cell>
          <cell r="E1932" t="str">
            <v>-</v>
          </cell>
          <cell r="F1932">
            <v>0</v>
          </cell>
          <cell r="G1932">
            <v>0</v>
          </cell>
          <cell r="H1932">
            <v>0</v>
          </cell>
          <cell r="I1932">
            <v>0</v>
          </cell>
        </row>
        <row r="1933">
          <cell r="C1933">
            <v>0</v>
          </cell>
          <cell r="D1933" t="str">
            <v>-</v>
          </cell>
          <cell r="E1933" t="str">
            <v>-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</row>
        <row r="1934">
          <cell r="C1934">
            <v>0</v>
          </cell>
          <cell r="D1934" t="str">
            <v>-</v>
          </cell>
          <cell r="E1934" t="str">
            <v>-</v>
          </cell>
          <cell r="F1934">
            <v>0</v>
          </cell>
          <cell r="G1934">
            <v>0</v>
          </cell>
          <cell r="H1934">
            <v>0</v>
          </cell>
          <cell r="I1934">
            <v>0</v>
          </cell>
        </row>
        <row r="1935">
          <cell r="C1935">
            <v>0</v>
          </cell>
          <cell r="D1935" t="str">
            <v>SUB TOTAL MANO DE OBRA</v>
          </cell>
          <cell r="E1935">
            <v>0</v>
          </cell>
          <cell r="F1935">
            <v>0</v>
          </cell>
          <cell r="G1935">
            <v>0</v>
          </cell>
          <cell r="H1935">
            <v>46.554502720000002</v>
          </cell>
          <cell r="I1935">
            <v>0</v>
          </cell>
        </row>
        <row r="1936">
          <cell r="C1936">
            <v>0</v>
          </cell>
          <cell r="D1936" t="str">
            <v>C- EQUIPOS:</v>
          </cell>
          <cell r="E1936">
            <v>0</v>
          </cell>
          <cell r="F1936">
            <v>0</v>
          </cell>
          <cell r="G1936">
            <v>0</v>
          </cell>
          <cell r="H1936">
            <v>0</v>
          </cell>
          <cell r="I1936">
            <v>0</v>
          </cell>
        </row>
        <row r="1937">
          <cell r="C1937">
            <v>0</v>
          </cell>
          <cell r="D1937" t="str">
            <v>Herramientas de Mano</v>
          </cell>
          <cell r="E1937" t="str">
            <v>gl</v>
          </cell>
          <cell r="F1937">
            <v>1.9877126873851241</v>
          </cell>
          <cell r="G1937">
            <v>1</v>
          </cell>
          <cell r="H1937">
            <v>1.9877126873851241</v>
          </cell>
          <cell r="I1937">
            <v>0</v>
          </cell>
        </row>
        <row r="1938">
          <cell r="C1938">
            <v>0</v>
          </cell>
          <cell r="D1938" t="str">
            <v>-</v>
          </cell>
          <cell r="E1938" t="str">
            <v>-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</row>
        <row r="1939">
          <cell r="C1939">
            <v>0</v>
          </cell>
          <cell r="D1939" t="str">
            <v>-</v>
          </cell>
          <cell r="E1939" t="str">
            <v>-</v>
          </cell>
          <cell r="F1939">
            <v>0</v>
          </cell>
          <cell r="G1939">
            <v>0</v>
          </cell>
          <cell r="H1939">
            <v>0</v>
          </cell>
          <cell r="I1939">
            <v>0</v>
          </cell>
        </row>
        <row r="1940">
          <cell r="C1940">
            <v>0</v>
          </cell>
          <cell r="D1940" t="str">
            <v>-</v>
          </cell>
          <cell r="E1940" t="str">
            <v>-</v>
          </cell>
          <cell r="F1940">
            <v>0</v>
          </cell>
          <cell r="G1940">
            <v>0</v>
          </cell>
          <cell r="H1940">
            <v>0</v>
          </cell>
          <cell r="I1940">
            <v>0</v>
          </cell>
        </row>
        <row r="1941">
          <cell r="C1941">
            <v>0</v>
          </cell>
          <cell r="D1941" t="str">
            <v>-</v>
          </cell>
          <cell r="E1941" t="str">
            <v>-</v>
          </cell>
          <cell r="F1941">
            <v>0</v>
          </cell>
          <cell r="G1941">
            <v>0</v>
          </cell>
          <cell r="H1941">
            <v>0</v>
          </cell>
          <cell r="I1941">
            <v>0</v>
          </cell>
        </row>
        <row r="1942">
          <cell r="C1942">
            <v>0</v>
          </cell>
          <cell r="D1942" t="str">
            <v>SUB TOTAL EQUIPOS</v>
          </cell>
          <cell r="E1942">
            <v>0</v>
          </cell>
          <cell r="F1942">
            <v>0</v>
          </cell>
          <cell r="G1942">
            <v>0</v>
          </cell>
          <cell r="H1942">
            <v>1.9877126873851241</v>
          </cell>
          <cell r="I1942">
            <v>0</v>
          </cell>
        </row>
        <row r="1943">
          <cell r="C1943">
            <v>0</v>
          </cell>
          <cell r="D1943">
            <v>0</v>
          </cell>
          <cell r="E1943">
            <v>0</v>
          </cell>
          <cell r="F1943">
            <v>0</v>
          </cell>
          <cell r="G1943">
            <v>0</v>
          </cell>
          <cell r="H1943">
            <v>0</v>
          </cell>
          <cell r="I1943">
            <v>0</v>
          </cell>
        </row>
        <row r="1944">
          <cell r="B1944">
            <v>36</v>
          </cell>
          <cell r="C1944">
            <v>0</v>
          </cell>
          <cell r="D1944" t="str">
            <v>COSTO-COSTO</v>
          </cell>
          <cell r="E1944">
            <v>0</v>
          </cell>
          <cell r="F1944">
            <v>0</v>
          </cell>
          <cell r="G1944">
            <v>0</v>
          </cell>
          <cell r="H1944">
            <v>68.244802266889266</v>
          </cell>
          <cell r="I1944">
            <v>0</v>
          </cell>
        </row>
        <row r="1945">
          <cell r="C1945">
            <v>0</v>
          </cell>
          <cell r="D1945" t="str">
            <v>GASTO FINANCIERO</v>
          </cell>
          <cell r="E1945">
            <v>0</v>
          </cell>
          <cell r="F1945">
            <v>0</v>
          </cell>
          <cell r="G1945">
            <v>0.02</v>
          </cell>
          <cell r="H1945">
            <v>1.3648960453377854</v>
          </cell>
          <cell r="I1945">
            <v>0</v>
          </cell>
        </row>
        <row r="1946">
          <cell r="C1946">
            <v>0</v>
          </cell>
          <cell r="D1946" t="str">
            <v>SUB TOTAL</v>
          </cell>
          <cell r="E1946">
            <v>0</v>
          </cell>
          <cell r="F1946">
            <v>0</v>
          </cell>
          <cell r="G1946">
            <v>0</v>
          </cell>
          <cell r="H1946">
            <v>69.609698312227053</v>
          </cell>
          <cell r="I1946">
            <v>0</v>
          </cell>
        </row>
        <row r="1947">
          <cell r="C1947">
            <v>0</v>
          </cell>
          <cell r="D1947" t="str">
            <v>GASTOS GENERALES</v>
          </cell>
          <cell r="E1947">
            <v>0</v>
          </cell>
          <cell r="F1947">
            <v>0</v>
          </cell>
          <cell r="G1947">
            <v>0.35116211482007981</v>
          </cell>
          <cell r="H1947">
            <v>24.444288871309393</v>
          </cell>
          <cell r="I1947">
            <v>0</v>
          </cell>
        </row>
        <row r="1948">
          <cell r="C1948">
            <v>0</v>
          </cell>
          <cell r="D1948" t="str">
            <v>BENEFICIO</v>
          </cell>
          <cell r="E1948">
            <v>0</v>
          </cell>
          <cell r="F1948">
            <v>0</v>
          </cell>
          <cell r="G1948">
            <v>0.1</v>
          </cell>
          <cell r="H1948">
            <v>6.9609698312227053</v>
          </cell>
          <cell r="I1948">
            <v>0</v>
          </cell>
        </row>
        <row r="1949">
          <cell r="C1949">
            <v>0</v>
          </cell>
          <cell r="D1949" t="str">
            <v>COSTO TOTAL UNITARIO</v>
          </cell>
          <cell r="E1949">
            <v>0</v>
          </cell>
          <cell r="F1949">
            <v>0</v>
          </cell>
          <cell r="G1949">
            <v>0</v>
          </cell>
          <cell r="H1949">
            <v>101.01495701475915</v>
          </cell>
          <cell r="I1949">
            <v>0</v>
          </cell>
        </row>
        <row r="1950">
          <cell r="C1950">
            <v>0</v>
          </cell>
          <cell r="D1950" t="str">
            <v>IMPUETOS</v>
          </cell>
          <cell r="E1950">
            <v>0</v>
          </cell>
          <cell r="F1950" t="str">
            <v>IIBB</v>
          </cell>
          <cell r="G1950">
            <v>2.4E-2</v>
          </cell>
          <cell r="H1950">
            <v>2.4243589683542197</v>
          </cell>
          <cell r="I1950">
            <v>0</v>
          </cell>
        </row>
        <row r="1951">
          <cell r="C1951">
            <v>0</v>
          </cell>
          <cell r="D1951">
            <v>0</v>
          </cell>
          <cell r="E1951">
            <v>0</v>
          </cell>
          <cell r="F1951" t="str">
            <v>IVA</v>
          </cell>
          <cell r="G1951">
            <v>0.21</v>
          </cell>
          <cell r="H1951">
            <v>21.213140973099421</v>
          </cell>
          <cell r="I1951">
            <v>0</v>
          </cell>
        </row>
        <row r="1952">
          <cell r="C1952">
            <v>0</v>
          </cell>
          <cell r="D1952">
            <v>0</v>
          </cell>
          <cell r="E1952">
            <v>0</v>
          </cell>
          <cell r="F1952">
            <v>0</v>
          </cell>
          <cell r="G1952">
            <v>0</v>
          </cell>
          <cell r="H1952">
            <v>0</v>
          </cell>
          <cell r="I1952">
            <v>0</v>
          </cell>
        </row>
        <row r="1953">
          <cell r="C1953">
            <v>0</v>
          </cell>
          <cell r="D1953" t="str">
            <v>PRECIO TOTAL UNITARIO</v>
          </cell>
          <cell r="E1953">
            <v>0</v>
          </cell>
          <cell r="F1953">
            <v>0</v>
          </cell>
          <cell r="G1953">
            <v>0</v>
          </cell>
          <cell r="H1953">
            <v>124.6524569562128</v>
          </cell>
          <cell r="I1953">
            <v>0</v>
          </cell>
        </row>
        <row r="1954">
          <cell r="C1954">
            <v>0</v>
          </cell>
          <cell r="D1954">
            <v>0</v>
          </cell>
          <cell r="E1954">
            <v>0</v>
          </cell>
          <cell r="F1954">
            <v>0</v>
          </cell>
          <cell r="G1954">
            <v>0</v>
          </cell>
          <cell r="H1954">
            <v>0</v>
          </cell>
          <cell r="I1954">
            <v>0</v>
          </cell>
        </row>
        <row r="1955">
          <cell r="C1955">
            <v>0</v>
          </cell>
          <cell r="D1955">
            <v>0</v>
          </cell>
          <cell r="E1955">
            <v>0</v>
          </cell>
          <cell r="F1955">
            <v>0</v>
          </cell>
          <cell r="G1955">
            <v>0</v>
          </cell>
          <cell r="H1955">
            <v>0</v>
          </cell>
          <cell r="I1955">
            <v>0</v>
          </cell>
        </row>
        <row r="1956">
          <cell r="C1956">
            <v>0</v>
          </cell>
          <cell r="D1956" t="str">
            <v>Rubro:</v>
          </cell>
          <cell r="E1956">
            <v>10</v>
          </cell>
          <cell r="F1956" t="str">
            <v xml:space="preserve">Pintura </v>
          </cell>
          <cell r="G1956" t="e">
            <v>#NAME?</v>
          </cell>
          <cell r="H1956" t="e">
            <v>#NAME?</v>
          </cell>
          <cell r="I1956">
            <v>0</v>
          </cell>
        </row>
        <row r="1957">
          <cell r="C1957">
            <v>0</v>
          </cell>
          <cell r="D1957" t="str">
            <v>Sub Rubro:</v>
          </cell>
          <cell r="E1957">
            <v>10.199999999999999</v>
          </cell>
          <cell r="F1957" t="str">
            <v>Látex Cielo raso</v>
          </cell>
          <cell r="G1957" t="e">
            <v>#NAME?</v>
          </cell>
          <cell r="H1957" t="e">
            <v>#NAME?</v>
          </cell>
          <cell r="I1957">
            <v>0</v>
          </cell>
        </row>
        <row r="1958">
          <cell r="C1958">
            <v>0</v>
          </cell>
          <cell r="D1958" t="str">
            <v>Ítem:</v>
          </cell>
          <cell r="E1958">
            <v>10.199999999999999</v>
          </cell>
          <cell r="F1958" t="str">
            <v>Látex Cielo raso</v>
          </cell>
          <cell r="G1958" t="e">
            <v>#NAME?</v>
          </cell>
          <cell r="H1958" t="e">
            <v>#NAME?</v>
          </cell>
          <cell r="I1958">
            <v>0</v>
          </cell>
        </row>
        <row r="1959">
          <cell r="C1959">
            <v>0</v>
          </cell>
          <cell r="D1959" t="str">
            <v>Unida:</v>
          </cell>
          <cell r="E1959" t="str">
            <v>m²</v>
          </cell>
          <cell r="F1959">
            <v>0</v>
          </cell>
          <cell r="G1959">
            <v>0</v>
          </cell>
          <cell r="H1959">
            <v>0</v>
          </cell>
          <cell r="I1959">
            <v>0</v>
          </cell>
        </row>
        <row r="1960">
          <cell r="C1960">
            <v>0</v>
          </cell>
          <cell r="D1960" t="str">
            <v>DENOMINACION</v>
          </cell>
          <cell r="E1960" t="str">
            <v>UNIDAD</v>
          </cell>
          <cell r="F1960" t="str">
            <v>COSTO UNITARIO</v>
          </cell>
          <cell r="G1960" t="str">
            <v>RENDIMIENTO POR UNIDAD</v>
          </cell>
          <cell r="H1960" t="str">
            <v>COSTO PARCIAL</v>
          </cell>
          <cell r="I1960">
            <v>0</v>
          </cell>
        </row>
        <row r="1961">
          <cell r="C1961">
            <v>0</v>
          </cell>
          <cell r="D1961" t="str">
            <v>A- MATERIALES:</v>
          </cell>
          <cell r="E1961">
            <v>0</v>
          </cell>
          <cell r="F1961">
            <v>0</v>
          </cell>
          <cell r="G1961">
            <v>0</v>
          </cell>
          <cell r="H1961">
            <v>0</v>
          </cell>
          <cell r="I1961">
            <v>0</v>
          </cell>
        </row>
        <row r="1962">
          <cell r="C1962">
            <v>0</v>
          </cell>
          <cell r="D1962" t="str">
            <v>Tekno Látex</v>
          </cell>
          <cell r="E1962" t="str">
            <v>lts</v>
          </cell>
          <cell r="F1962">
            <v>27.06611570247934</v>
          </cell>
          <cell r="G1962">
            <v>0.3</v>
          </cell>
          <cell r="H1962">
            <v>8.1198347107438025</v>
          </cell>
          <cell r="I1962">
            <v>0</v>
          </cell>
        </row>
        <row r="1963">
          <cell r="C1963">
            <v>0</v>
          </cell>
          <cell r="D1963" t="str">
            <v>Enduido Acrílico</v>
          </cell>
          <cell r="E1963" t="str">
            <v>kg</v>
          </cell>
          <cell r="F1963">
            <v>8.5444999999999993</v>
          </cell>
          <cell r="G1963">
            <v>0.3</v>
          </cell>
          <cell r="H1963">
            <v>2.5633499999999998</v>
          </cell>
          <cell r="I1963">
            <v>0</v>
          </cell>
        </row>
        <row r="1964">
          <cell r="C1964">
            <v>0</v>
          </cell>
          <cell r="D1964" t="str">
            <v>Pincel</v>
          </cell>
          <cell r="E1964" t="str">
            <v>un</v>
          </cell>
          <cell r="F1964">
            <v>24.793388429752067</v>
          </cell>
          <cell r="G1964">
            <v>0.01</v>
          </cell>
          <cell r="H1964">
            <v>0.24793388429752067</v>
          </cell>
          <cell r="I1964">
            <v>0</v>
          </cell>
        </row>
        <row r="1965">
          <cell r="C1965">
            <v>0</v>
          </cell>
          <cell r="D1965" t="str">
            <v>Rodillo Lana</v>
          </cell>
          <cell r="E1965" t="str">
            <v>un</v>
          </cell>
          <cell r="F1965">
            <v>43.553719008264466</v>
          </cell>
          <cell r="G1965">
            <v>0.01</v>
          </cell>
          <cell r="H1965">
            <v>0.43553719008264469</v>
          </cell>
          <cell r="I1965">
            <v>0</v>
          </cell>
        </row>
        <row r="1966">
          <cell r="C1966">
            <v>0</v>
          </cell>
          <cell r="D1966" t="str">
            <v>Fijador</v>
          </cell>
          <cell r="E1966" t="str">
            <v>lts</v>
          </cell>
          <cell r="F1966">
            <v>12.427999999999999</v>
          </cell>
          <cell r="G1966">
            <v>0.01</v>
          </cell>
          <cell r="H1966">
            <v>0.12427999999999999</v>
          </cell>
          <cell r="I1966">
            <v>0</v>
          </cell>
        </row>
        <row r="1967">
          <cell r="C1967">
            <v>0</v>
          </cell>
          <cell r="D1967">
            <v>0</v>
          </cell>
          <cell r="E1967" t="str">
            <v>-</v>
          </cell>
          <cell r="F1967">
            <v>0</v>
          </cell>
          <cell r="G1967">
            <v>0</v>
          </cell>
          <cell r="H1967">
            <v>0</v>
          </cell>
          <cell r="I1967">
            <v>0</v>
          </cell>
        </row>
        <row r="1968">
          <cell r="C1968">
            <v>0</v>
          </cell>
          <cell r="D1968">
            <v>0</v>
          </cell>
          <cell r="E1968" t="str">
            <v>-</v>
          </cell>
          <cell r="F1968">
            <v>0</v>
          </cell>
          <cell r="G1968">
            <v>0</v>
          </cell>
          <cell r="H1968">
            <v>0</v>
          </cell>
          <cell r="I1968">
            <v>0</v>
          </cell>
        </row>
        <row r="1969">
          <cell r="C1969">
            <v>0</v>
          </cell>
          <cell r="D1969">
            <v>0</v>
          </cell>
          <cell r="E1969" t="str">
            <v>-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</row>
        <row r="1970">
          <cell r="C1970">
            <v>0</v>
          </cell>
          <cell r="D1970">
            <v>0</v>
          </cell>
          <cell r="E1970" t="str">
            <v>-</v>
          </cell>
          <cell r="F1970">
            <v>0</v>
          </cell>
          <cell r="G1970">
            <v>0</v>
          </cell>
          <cell r="H1970">
            <v>0</v>
          </cell>
          <cell r="I1970">
            <v>0</v>
          </cell>
        </row>
        <row r="1971">
          <cell r="C1971">
            <v>0</v>
          </cell>
          <cell r="D1971">
            <v>0</v>
          </cell>
          <cell r="E1971" t="str">
            <v>-</v>
          </cell>
          <cell r="F1971">
            <v>0</v>
          </cell>
          <cell r="G1971">
            <v>0</v>
          </cell>
          <cell r="H1971">
            <v>0</v>
          </cell>
          <cell r="I1971">
            <v>0</v>
          </cell>
        </row>
        <row r="1972">
          <cell r="C1972">
            <v>0</v>
          </cell>
          <cell r="D1972">
            <v>0</v>
          </cell>
          <cell r="E1972" t="str">
            <v>-</v>
          </cell>
          <cell r="F1972">
            <v>0</v>
          </cell>
          <cell r="G1972">
            <v>0</v>
          </cell>
          <cell r="H1972">
            <v>0</v>
          </cell>
          <cell r="I1972">
            <v>0</v>
          </cell>
        </row>
        <row r="1973">
          <cell r="C1973">
            <v>0</v>
          </cell>
          <cell r="D1973">
            <v>0</v>
          </cell>
          <cell r="E1973" t="str">
            <v>-</v>
          </cell>
          <cell r="F1973">
            <v>0</v>
          </cell>
          <cell r="G1973">
            <v>0</v>
          </cell>
          <cell r="H1973">
            <v>0</v>
          </cell>
          <cell r="I1973">
            <v>0</v>
          </cell>
        </row>
        <row r="1974">
          <cell r="C1974">
            <v>0</v>
          </cell>
          <cell r="D1974">
            <v>0</v>
          </cell>
          <cell r="E1974" t="str">
            <v>-</v>
          </cell>
          <cell r="F1974">
            <v>0</v>
          </cell>
          <cell r="G1974">
            <v>0</v>
          </cell>
          <cell r="H1974">
            <v>0</v>
          </cell>
          <cell r="I1974">
            <v>0</v>
          </cell>
        </row>
        <row r="1975">
          <cell r="C1975">
            <v>0</v>
          </cell>
          <cell r="D1975">
            <v>0</v>
          </cell>
          <cell r="E1975" t="str">
            <v>-</v>
          </cell>
          <cell r="F1975">
            <v>0</v>
          </cell>
          <cell r="G1975">
            <v>0</v>
          </cell>
          <cell r="H1975">
            <v>0</v>
          </cell>
          <cell r="I1975">
            <v>0</v>
          </cell>
        </row>
        <row r="1976">
          <cell r="C1976">
            <v>0</v>
          </cell>
          <cell r="D1976">
            <v>0</v>
          </cell>
          <cell r="E1976" t="str">
            <v>-</v>
          </cell>
          <cell r="F1976">
            <v>0</v>
          </cell>
          <cell r="G1976">
            <v>0</v>
          </cell>
          <cell r="H1976">
            <v>0</v>
          </cell>
          <cell r="I1976">
            <v>0</v>
          </cell>
        </row>
        <row r="1977">
          <cell r="C1977">
            <v>0</v>
          </cell>
          <cell r="D1977">
            <v>0</v>
          </cell>
          <cell r="E1977" t="str">
            <v>-</v>
          </cell>
          <cell r="F1977">
            <v>0</v>
          </cell>
          <cell r="G1977">
            <v>0</v>
          </cell>
          <cell r="H1977">
            <v>0</v>
          </cell>
          <cell r="I1977">
            <v>0</v>
          </cell>
        </row>
        <row r="1978">
          <cell r="C1978">
            <v>0</v>
          </cell>
          <cell r="D1978">
            <v>0</v>
          </cell>
          <cell r="E1978" t="str">
            <v>-</v>
          </cell>
          <cell r="F1978">
            <v>0</v>
          </cell>
          <cell r="G1978">
            <v>0</v>
          </cell>
          <cell r="H1978">
            <v>0</v>
          </cell>
          <cell r="I1978">
            <v>0</v>
          </cell>
        </row>
        <row r="1979">
          <cell r="C1979">
            <v>0</v>
          </cell>
          <cell r="D1979">
            <v>0</v>
          </cell>
          <cell r="E1979" t="str">
            <v>-</v>
          </cell>
          <cell r="F1979">
            <v>0</v>
          </cell>
          <cell r="G1979">
            <v>0</v>
          </cell>
          <cell r="H1979">
            <v>0</v>
          </cell>
          <cell r="I1979">
            <v>0</v>
          </cell>
        </row>
        <row r="1980">
          <cell r="C1980">
            <v>0</v>
          </cell>
          <cell r="D1980">
            <v>0</v>
          </cell>
          <cell r="E1980" t="str">
            <v>-</v>
          </cell>
          <cell r="F1980">
            <v>0</v>
          </cell>
          <cell r="G1980">
            <v>0</v>
          </cell>
          <cell r="H1980">
            <v>0</v>
          </cell>
          <cell r="I1980">
            <v>0</v>
          </cell>
        </row>
        <row r="1981">
          <cell r="C1981">
            <v>0</v>
          </cell>
          <cell r="D1981">
            <v>0</v>
          </cell>
          <cell r="E1981" t="str">
            <v>-</v>
          </cell>
          <cell r="F1981">
            <v>0</v>
          </cell>
          <cell r="G1981">
            <v>0</v>
          </cell>
          <cell r="H1981">
            <v>0</v>
          </cell>
          <cell r="I1981">
            <v>0</v>
          </cell>
        </row>
        <row r="1982">
          <cell r="C1982">
            <v>0</v>
          </cell>
          <cell r="D1982" t="str">
            <v>SUB TOTAL MATERIALES</v>
          </cell>
          <cell r="E1982">
            <v>0</v>
          </cell>
          <cell r="F1982">
            <v>0</v>
          </cell>
          <cell r="G1982">
            <v>0</v>
          </cell>
          <cell r="H1982">
            <v>11.490935785123968</v>
          </cell>
          <cell r="I1982">
            <v>0</v>
          </cell>
        </row>
        <row r="1983">
          <cell r="C1983">
            <v>0</v>
          </cell>
          <cell r="D1983" t="str">
            <v>B- MANO DE OBRA:</v>
          </cell>
          <cell r="E1983">
            <v>0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</row>
        <row r="1984">
          <cell r="C1984">
            <v>0</v>
          </cell>
          <cell r="D1984" t="str">
            <v>Oficial</v>
          </cell>
          <cell r="E1984" t="str">
            <v>hs</v>
          </cell>
          <cell r="F1984">
            <v>56.619016000000002</v>
          </cell>
          <cell r="G1984">
            <v>0.6</v>
          </cell>
          <cell r="H1984">
            <v>33.971409600000001</v>
          </cell>
          <cell r="I1984">
            <v>0</v>
          </cell>
        </row>
        <row r="1985">
          <cell r="C1985">
            <v>0</v>
          </cell>
          <cell r="D1985" t="str">
            <v>Ayudante</v>
          </cell>
          <cell r="E1985" t="str">
            <v>hs</v>
          </cell>
          <cell r="F1985">
            <v>48.396512000000008</v>
          </cell>
          <cell r="G1985">
            <v>0.26</v>
          </cell>
          <cell r="H1985">
            <v>12.583093120000003</v>
          </cell>
          <cell r="I1985">
            <v>0</v>
          </cell>
        </row>
        <row r="1986">
          <cell r="C1986">
            <v>0</v>
          </cell>
          <cell r="D1986" t="str">
            <v>-</v>
          </cell>
          <cell r="E1986" t="str">
            <v>-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</row>
        <row r="1987">
          <cell r="C1987">
            <v>0</v>
          </cell>
          <cell r="D1987" t="str">
            <v>-</v>
          </cell>
          <cell r="E1987" t="str">
            <v>-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</row>
        <row r="1988">
          <cell r="C1988">
            <v>0</v>
          </cell>
          <cell r="D1988" t="str">
            <v>-</v>
          </cell>
          <cell r="E1988" t="str">
            <v>-</v>
          </cell>
          <cell r="F1988">
            <v>0</v>
          </cell>
          <cell r="G1988">
            <v>0</v>
          </cell>
          <cell r="H1988">
            <v>0</v>
          </cell>
          <cell r="I1988">
            <v>0</v>
          </cell>
        </row>
        <row r="1989">
          <cell r="C1989">
            <v>0</v>
          </cell>
          <cell r="D1989" t="str">
            <v>SUB TOTAL MANO DE OBRA</v>
          </cell>
          <cell r="E1989">
            <v>0</v>
          </cell>
          <cell r="F1989">
            <v>0</v>
          </cell>
          <cell r="G1989">
            <v>0</v>
          </cell>
          <cell r="H1989">
            <v>46.554502720000002</v>
          </cell>
          <cell r="I1989">
            <v>0</v>
          </cell>
        </row>
        <row r="1990">
          <cell r="C1990">
            <v>0</v>
          </cell>
          <cell r="D1990" t="str">
            <v>C- EQUIPOS:</v>
          </cell>
          <cell r="E1990">
            <v>0</v>
          </cell>
          <cell r="F1990">
            <v>0</v>
          </cell>
          <cell r="G1990">
            <v>0</v>
          </cell>
          <cell r="H1990">
            <v>0</v>
          </cell>
          <cell r="I1990">
            <v>0</v>
          </cell>
        </row>
        <row r="1991">
          <cell r="C1991">
            <v>0</v>
          </cell>
          <cell r="D1991" t="str">
            <v>Herramientas de Mano</v>
          </cell>
          <cell r="E1991" t="str">
            <v>gl</v>
          </cell>
          <cell r="F1991">
            <v>1.741363155153719</v>
          </cell>
          <cell r="G1991">
            <v>1</v>
          </cell>
          <cell r="H1991">
            <v>1.741363155153719</v>
          </cell>
          <cell r="I1991">
            <v>0</v>
          </cell>
        </row>
        <row r="1992">
          <cell r="C1992">
            <v>0</v>
          </cell>
          <cell r="D1992" t="str">
            <v>-</v>
          </cell>
          <cell r="E1992" t="str">
            <v>-</v>
          </cell>
          <cell r="F1992">
            <v>0</v>
          </cell>
          <cell r="G1992">
            <v>0</v>
          </cell>
          <cell r="H1992">
            <v>0</v>
          </cell>
          <cell r="I1992">
            <v>0</v>
          </cell>
        </row>
        <row r="1993">
          <cell r="C1993">
            <v>0</v>
          </cell>
          <cell r="D1993" t="str">
            <v>-</v>
          </cell>
          <cell r="E1993" t="str">
            <v>-</v>
          </cell>
          <cell r="F1993">
            <v>0</v>
          </cell>
          <cell r="G1993">
            <v>0</v>
          </cell>
          <cell r="H1993">
            <v>0</v>
          </cell>
          <cell r="I1993">
            <v>0</v>
          </cell>
        </row>
        <row r="1994">
          <cell r="C1994">
            <v>0</v>
          </cell>
          <cell r="D1994" t="str">
            <v>-</v>
          </cell>
          <cell r="E1994" t="str">
            <v>-</v>
          </cell>
          <cell r="F1994">
            <v>0</v>
          </cell>
          <cell r="G1994">
            <v>0</v>
          </cell>
          <cell r="H1994">
            <v>0</v>
          </cell>
          <cell r="I1994">
            <v>0</v>
          </cell>
        </row>
        <row r="1995">
          <cell r="C1995">
            <v>0</v>
          </cell>
          <cell r="D1995" t="str">
            <v>-</v>
          </cell>
          <cell r="E1995" t="str">
            <v>-</v>
          </cell>
          <cell r="F1995">
            <v>0</v>
          </cell>
          <cell r="G1995">
            <v>0</v>
          </cell>
          <cell r="H1995">
            <v>0</v>
          </cell>
          <cell r="I1995">
            <v>0</v>
          </cell>
        </row>
        <row r="1996">
          <cell r="C1996">
            <v>0</v>
          </cell>
          <cell r="D1996" t="str">
            <v>SUB TOTAL EQUIPOS</v>
          </cell>
          <cell r="E1996">
            <v>0</v>
          </cell>
          <cell r="F1996">
            <v>0</v>
          </cell>
          <cell r="G1996">
            <v>0</v>
          </cell>
          <cell r="H1996">
            <v>1.741363155153719</v>
          </cell>
          <cell r="I1996">
            <v>0</v>
          </cell>
        </row>
        <row r="1997">
          <cell r="C1997">
            <v>0</v>
          </cell>
          <cell r="D1997">
            <v>0</v>
          </cell>
          <cell r="E1997">
            <v>0</v>
          </cell>
          <cell r="F1997">
            <v>0</v>
          </cell>
          <cell r="G1997">
            <v>0</v>
          </cell>
          <cell r="H1997">
            <v>0</v>
          </cell>
          <cell r="I1997">
            <v>0</v>
          </cell>
        </row>
        <row r="1998">
          <cell r="B1998">
            <v>37</v>
          </cell>
          <cell r="C1998">
            <v>0</v>
          </cell>
          <cell r="D1998" t="str">
            <v>COSTO-COSTO</v>
          </cell>
          <cell r="E1998">
            <v>0</v>
          </cell>
          <cell r="F1998">
            <v>0</v>
          </cell>
          <cell r="G1998">
            <v>0</v>
          </cell>
          <cell r="H1998">
            <v>59.786801660277689</v>
          </cell>
          <cell r="I1998">
            <v>0</v>
          </cell>
        </row>
        <row r="1999">
          <cell r="C1999">
            <v>0</v>
          </cell>
          <cell r="D1999" t="str">
            <v>GASTO FINANCIERO</v>
          </cell>
          <cell r="E1999">
            <v>0</v>
          </cell>
          <cell r="F1999">
            <v>0</v>
          </cell>
          <cell r="G1999">
            <v>0.02</v>
          </cell>
          <cell r="H1999">
            <v>1.1957360332055538</v>
          </cell>
          <cell r="I1999">
            <v>0</v>
          </cell>
        </row>
        <row r="2000">
          <cell r="C2000">
            <v>0</v>
          </cell>
          <cell r="D2000" t="str">
            <v>SUB TOTAL</v>
          </cell>
          <cell r="E2000">
            <v>0</v>
          </cell>
          <cell r="F2000">
            <v>0</v>
          </cell>
          <cell r="G2000">
            <v>0</v>
          </cell>
          <cell r="H2000">
            <v>60.982537693483245</v>
          </cell>
          <cell r="I2000">
            <v>0</v>
          </cell>
        </row>
        <row r="2001">
          <cell r="C2001">
            <v>0</v>
          </cell>
          <cell r="D2001" t="str">
            <v>GASTOS GENERALES</v>
          </cell>
          <cell r="E2001">
            <v>0</v>
          </cell>
          <cell r="F2001">
            <v>0</v>
          </cell>
          <cell r="G2001">
            <v>0.35116211482007981</v>
          </cell>
          <cell r="H2001">
            <v>21.414756903538809</v>
          </cell>
          <cell r="I2001">
            <v>0</v>
          </cell>
        </row>
        <row r="2002">
          <cell r="C2002">
            <v>0</v>
          </cell>
          <cell r="D2002" t="str">
            <v>BENEFICIO</v>
          </cell>
          <cell r="E2002">
            <v>0</v>
          </cell>
          <cell r="F2002">
            <v>0</v>
          </cell>
          <cell r="G2002">
            <v>0.1</v>
          </cell>
          <cell r="H2002">
            <v>6.0982537693483252</v>
          </cell>
          <cell r="I2002">
            <v>0</v>
          </cell>
        </row>
        <row r="2003">
          <cell r="C2003">
            <v>0</v>
          </cell>
          <cell r="D2003" t="str">
            <v>COSTO TOTAL UNITARIO</v>
          </cell>
          <cell r="E2003">
            <v>0</v>
          </cell>
          <cell r="F2003">
            <v>0</v>
          </cell>
          <cell r="G2003">
            <v>0</v>
          </cell>
          <cell r="H2003">
            <v>88.495548366370372</v>
          </cell>
          <cell r="I2003">
            <v>0</v>
          </cell>
        </row>
        <row r="2004">
          <cell r="C2004">
            <v>0</v>
          </cell>
          <cell r="D2004" t="str">
            <v>IMPUETOS</v>
          </cell>
          <cell r="E2004">
            <v>0</v>
          </cell>
          <cell r="F2004" t="str">
            <v>IIBB</v>
          </cell>
          <cell r="G2004">
            <v>2.4E-2</v>
          </cell>
          <cell r="H2004">
            <v>2.123893160792889</v>
          </cell>
          <cell r="I2004">
            <v>0</v>
          </cell>
        </row>
        <row r="2005">
          <cell r="C2005">
            <v>0</v>
          </cell>
          <cell r="D2005">
            <v>0</v>
          </cell>
          <cell r="E2005">
            <v>0</v>
          </cell>
          <cell r="F2005" t="str">
            <v>IVA</v>
          </cell>
          <cell r="G2005">
            <v>0.21</v>
          </cell>
          <cell r="H2005">
            <v>18.584065156937779</v>
          </cell>
          <cell r="I2005">
            <v>0</v>
          </cell>
        </row>
        <row r="2006">
          <cell r="C2006">
            <v>0</v>
          </cell>
          <cell r="D2006">
            <v>0</v>
          </cell>
          <cell r="E2006">
            <v>0</v>
          </cell>
          <cell r="F2006">
            <v>0</v>
          </cell>
          <cell r="G2006">
            <v>0</v>
          </cell>
          <cell r="H2006">
            <v>0</v>
          </cell>
          <cell r="I2006">
            <v>0</v>
          </cell>
        </row>
        <row r="2007">
          <cell r="C2007">
            <v>0</v>
          </cell>
          <cell r="D2007" t="str">
            <v>PRECIO TOTAL UNITARIO</v>
          </cell>
          <cell r="E2007">
            <v>0</v>
          </cell>
          <cell r="F2007">
            <v>0</v>
          </cell>
          <cell r="G2007">
            <v>0</v>
          </cell>
          <cell r="H2007">
            <v>109.20350668410104</v>
          </cell>
          <cell r="I2007">
            <v>0</v>
          </cell>
        </row>
        <row r="2008">
          <cell r="C2008">
            <v>0</v>
          </cell>
          <cell r="D2008">
            <v>0</v>
          </cell>
          <cell r="E2008">
            <v>0</v>
          </cell>
          <cell r="F2008">
            <v>0</v>
          </cell>
          <cell r="G2008">
            <v>0</v>
          </cell>
          <cell r="H2008">
            <v>0</v>
          </cell>
          <cell r="I2008">
            <v>0</v>
          </cell>
        </row>
        <row r="2009">
          <cell r="C2009">
            <v>0</v>
          </cell>
          <cell r="D2009">
            <v>0</v>
          </cell>
          <cell r="E2009">
            <v>0</v>
          </cell>
          <cell r="F2009">
            <v>0</v>
          </cell>
          <cell r="G2009">
            <v>0</v>
          </cell>
          <cell r="H2009">
            <v>0</v>
          </cell>
          <cell r="I2009">
            <v>0</v>
          </cell>
        </row>
        <row r="2010">
          <cell r="C2010">
            <v>0</v>
          </cell>
          <cell r="D2010" t="str">
            <v>Rubro:</v>
          </cell>
          <cell r="E2010">
            <v>10</v>
          </cell>
          <cell r="F2010" t="str">
            <v xml:space="preserve">Pintura </v>
          </cell>
          <cell r="G2010" t="e">
            <v>#NAME?</v>
          </cell>
          <cell r="H2010" t="e">
            <v>#NAME?</v>
          </cell>
          <cell r="I2010">
            <v>0</v>
          </cell>
        </row>
        <row r="2011">
          <cell r="C2011">
            <v>0</v>
          </cell>
          <cell r="D2011" t="str">
            <v>Sub Rubro:</v>
          </cell>
          <cell r="E2011">
            <v>10.3</v>
          </cell>
          <cell r="F2011" t="str">
            <v>Esmalte en carpintería</v>
          </cell>
          <cell r="G2011" t="e">
            <v>#NAME?</v>
          </cell>
          <cell r="H2011" t="e">
            <v>#NAME?</v>
          </cell>
          <cell r="I2011">
            <v>0</v>
          </cell>
        </row>
        <row r="2012">
          <cell r="C2012">
            <v>0</v>
          </cell>
          <cell r="D2012" t="str">
            <v>Ítem:</v>
          </cell>
          <cell r="E2012">
            <v>10.3</v>
          </cell>
          <cell r="F2012" t="str">
            <v>Esmalte en carpintería</v>
          </cell>
          <cell r="G2012" t="e">
            <v>#NAME?</v>
          </cell>
          <cell r="H2012" t="e">
            <v>#NAME?</v>
          </cell>
          <cell r="I2012">
            <v>0</v>
          </cell>
        </row>
        <row r="2013">
          <cell r="C2013">
            <v>0</v>
          </cell>
          <cell r="D2013" t="str">
            <v>Unida:</v>
          </cell>
          <cell r="E2013" t="str">
            <v>m²</v>
          </cell>
          <cell r="F2013">
            <v>0</v>
          </cell>
          <cell r="G2013">
            <v>0</v>
          </cell>
          <cell r="H2013">
            <v>0</v>
          </cell>
          <cell r="I2013">
            <v>0</v>
          </cell>
        </row>
        <row r="2014">
          <cell r="C2014">
            <v>0</v>
          </cell>
          <cell r="D2014" t="str">
            <v>DENOMINACION</v>
          </cell>
          <cell r="E2014" t="str">
            <v>UNIDAD</v>
          </cell>
          <cell r="F2014" t="str">
            <v>COSTO UNITARIO</v>
          </cell>
          <cell r="G2014" t="str">
            <v>RENDIMIENTO POR UNIDAD</v>
          </cell>
          <cell r="H2014" t="str">
            <v>COSTO PARCIAL</v>
          </cell>
          <cell r="I2014">
            <v>0</v>
          </cell>
        </row>
        <row r="2015">
          <cell r="C2015">
            <v>0</v>
          </cell>
          <cell r="D2015" t="str">
            <v>A- MATERIALES:</v>
          </cell>
          <cell r="E2015">
            <v>0</v>
          </cell>
          <cell r="F2015">
            <v>0</v>
          </cell>
          <cell r="G2015">
            <v>0</v>
          </cell>
          <cell r="H2015">
            <v>0</v>
          </cell>
          <cell r="I2015">
            <v>0</v>
          </cell>
        </row>
        <row r="2016">
          <cell r="C2016">
            <v>0</v>
          </cell>
          <cell r="D2016" t="str">
            <v>Sintetico Tekno</v>
          </cell>
          <cell r="E2016" t="str">
            <v>lts</v>
          </cell>
          <cell r="F2016">
            <v>56.280991735537192</v>
          </cell>
          <cell r="G2016">
            <v>0.3</v>
          </cell>
          <cell r="H2016">
            <v>16.884297520661157</v>
          </cell>
          <cell r="I2016">
            <v>0</v>
          </cell>
        </row>
        <row r="2017">
          <cell r="C2017">
            <v>0</v>
          </cell>
          <cell r="D2017" t="str">
            <v>Anti oxido Fos. De Sing</v>
          </cell>
          <cell r="E2017" t="str">
            <v>lts</v>
          </cell>
          <cell r="F2017">
            <v>45.454545454545453</v>
          </cell>
          <cell r="G2017">
            <v>0.2</v>
          </cell>
          <cell r="H2017">
            <v>9.0909090909090917</v>
          </cell>
          <cell r="I2017">
            <v>0</v>
          </cell>
        </row>
        <row r="2018">
          <cell r="C2018">
            <v>0</v>
          </cell>
          <cell r="D2018" t="str">
            <v>Pincel</v>
          </cell>
          <cell r="E2018" t="str">
            <v>un</v>
          </cell>
          <cell r="F2018">
            <v>24.793388429752067</v>
          </cell>
          <cell r="G2018">
            <v>0.02</v>
          </cell>
          <cell r="H2018">
            <v>0.49586776859504134</v>
          </cell>
          <cell r="I2018">
            <v>0</v>
          </cell>
        </row>
        <row r="2019">
          <cell r="C2019">
            <v>0</v>
          </cell>
          <cell r="D2019">
            <v>0</v>
          </cell>
          <cell r="E2019" t="str">
            <v>-</v>
          </cell>
          <cell r="F2019">
            <v>0</v>
          </cell>
          <cell r="G2019">
            <v>0</v>
          </cell>
          <cell r="H2019">
            <v>0</v>
          </cell>
          <cell r="I2019">
            <v>0</v>
          </cell>
        </row>
        <row r="2020">
          <cell r="C2020">
            <v>0</v>
          </cell>
          <cell r="D2020">
            <v>0</v>
          </cell>
          <cell r="E2020" t="str">
            <v>-</v>
          </cell>
          <cell r="F2020">
            <v>0</v>
          </cell>
          <cell r="G2020">
            <v>0</v>
          </cell>
          <cell r="H2020">
            <v>0</v>
          </cell>
          <cell r="I2020">
            <v>0</v>
          </cell>
        </row>
        <row r="2021">
          <cell r="C2021">
            <v>0</v>
          </cell>
          <cell r="D2021">
            <v>0</v>
          </cell>
          <cell r="E2021" t="str">
            <v>-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</row>
        <row r="2022">
          <cell r="C2022">
            <v>0</v>
          </cell>
          <cell r="D2022">
            <v>0</v>
          </cell>
          <cell r="E2022" t="str">
            <v>-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</row>
        <row r="2023">
          <cell r="C2023">
            <v>0</v>
          </cell>
          <cell r="D2023">
            <v>0</v>
          </cell>
          <cell r="E2023" t="str">
            <v>-</v>
          </cell>
          <cell r="F2023">
            <v>0</v>
          </cell>
          <cell r="G2023">
            <v>0</v>
          </cell>
          <cell r="H2023">
            <v>0</v>
          </cell>
          <cell r="I2023">
            <v>0</v>
          </cell>
        </row>
        <row r="2024">
          <cell r="C2024">
            <v>0</v>
          </cell>
          <cell r="D2024">
            <v>0</v>
          </cell>
          <cell r="E2024" t="str">
            <v>-</v>
          </cell>
          <cell r="F2024">
            <v>0</v>
          </cell>
          <cell r="G2024">
            <v>0</v>
          </cell>
          <cell r="H2024">
            <v>0</v>
          </cell>
          <cell r="I2024">
            <v>0</v>
          </cell>
        </row>
        <row r="2025">
          <cell r="C2025">
            <v>0</v>
          </cell>
          <cell r="D2025">
            <v>0</v>
          </cell>
          <cell r="E2025" t="str">
            <v>-</v>
          </cell>
          <cell r="F2025">
            <v>0</v>
          </cell>
          <cell r="G2025">
            <v>0</v>
          </cell>
          <cell r="H2025">
            <v>0</v>
          </cell>
          <cell r="I2025">
            <v>0</v>
          </cell>
        </row>
        <row r="2026">
          <cell r="C2026">
            <v>0</v>
          </cell>
          <cell r="D2026">
            <v>0</v>
          </cell>
          <cell r="E2026" t="str">
            <v>-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</row>
        <row r="2027">
          <cell r="C2027">
            <v>0</v>
          </cell>
          <cell r="D2027">
            <v>0</v>
          </cell>
          <cell r="E2027" t="str">
            <v>-</v>
          </cell>
          <cell r="F2027">
            <v>0</v>
          </cell>
          <cell r="G2027">
            <v>0</v>
          </cell>
          <cell r="H2027">
            <v>0</v>
          </cell>
          <cell r="I2027">
            <v>0</v>
          </cell>
        </row>
        <row r="2028">
          <cell r="C2028">
            <v>0</v>
          </cell>
          <cell r="D2028">
            <v>0</v>
          </cell>
          <cell r="E2028" t="str">
            <v>-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</row>
        <row r="2029">
          <cell r="C2029">
            <v>0</v>
          </cell>
          <cell r="D2029">
            <v>0</v>
          </cell>
          <cell r="E2029" t="str">
            <v>-</v>
          </cell>
          <cell r="F2029">
            <v>0</v>
          </cell>
          <cell r="G2029">
            <v>0</v>
          </cell>
          <cell r="H2029">
            <v>0</v>
          </cell>
          <cell r="I2029">
            <v>0</v>
          </cell>
        </row>
        <row r="2030">
          <cell r="C2030">
            <v>0</v>
          </cell>
          <cell r="D2030">
            <v>0</v>
          </cell>
          <cell r="E2030" t="str">
            <v>-</v>
          </cell>
          <cell r="F2030">
            <v>0</v>
          </cell>
          <cell r="G2030">
            <v>0</v>
          </cell>
          <cell r="H2030">
            <v>0</v>
          </cell>
          <cell r="I2030">
            <v>0</v>
          </cell>
        </row>
        <row r="2031">
          <cell r="C2031">
            <v>0</v>
          </cell>
          <cell r="D2031">
            <v>0</v>
          </cell>
          <cell r="E2031" t="str">
            <v>-</v>
          </cell>
          <cell r="F2031">
            <v>0</v>
          </cell>
          <cell r="G2031">
            <v>0</v>
          </cell>
          <cell r="H2031">
            <v>0</v>
          </cell>
          <cell r="I2031">
            <v>0</v>
          </cell>
        </row>
        <row r="2032">
          <cell r="C2032">
            <v>0</v>
          </cell>
          <cell r="D2032">
            <v>0</v>
          </cell>
          <cell r="E2032" t="str">
            <v>-</v>
          </cell>
          <cell r="F2032">
            <v>0</v>
          </cell>
          <cell r="G2032">
            <v>0</v>
          </cell>
          <cell r="H2032">
            <v>0</v>
          </cell>
          <cell r="I2032">
            <v>0</v>
          </cell>
        </row>
        <row r="2033">
          <cell r="C2033">
            <v>0</v>
          </cell>
          <cell r="D2033">
            <v>0</v>
          </cell>
          <cell r="E2033" t="str">
            <v>-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</row>
        <row r="2034">
          <cell r="C2034">
            <v>0</v>
          </cell>
          <cell r="D2034">
            <v>0</v>
          </cell>
          <cell r="E2034" t="str">
            <v>-</v>
          </cell>
          <cell r="F2034">
            <v>0</v>
          </cell>
          <cell r="G2034">
            <v>0</v>
          </cell>
          <cell r="H2034">
            <v>0</v>
          </cell>
          <cell r="I2034">
            <v>0</v>
          </cell>
        </row>
        <row r="2035">
          <cell r="C2035">
            <v>0</v>
          </cell>
          <cell r="D2035">
            <v>0</v>
          </cell>
          <cell r="E2035" t="str">
            <v>-</v>
          </cell>
          <cell r="F2035">
            <v>0</v>
          </cell>
          <cell r="G2035">
            <v>0</v>
          </cell>
          <cell r="H2035">
            <v>0</v>
          </cell>
          <cell r="I2035">
            <v>0</v>
          </cell>
        </row>
        <row r="2036">
          <cell r="C2036">
            <v>0</v>
          </cell>
          <cell r="D2036" t="str">
            <v>SUB TOTAL MATERIALES</v>
          </cell>
          <cell r="E2036">
            <v>0</v>
          </cell>
          <cell r="F2036">
            <v>0</v>
          </cell>
          <cell r="G2036">
            <v>0</v>
          </cell>
          <cell r="H2036">
            <v>26.471074380165291</v>
          </cell>
          <cell r="I2036">
            <v>0</v>
          </cell>
        </row>
        <row r="2037">
          <cell r="C2037">
            <v>0</v>
          </cell>
          <cell r="D2037" t="str">
            <v>B- MANO DE OBRA:</v>
          </cell>
          <cell r="E2037">
            <v>0</v>
          </cell>
          <cell r="F2037">
            <v>0</v>
          </cell>
          <cell r="G2037">
            <v>0</v>
          </cell>
          <cell r="H2037">
            <v>0</v>
          </cell>
          <cell r="I2037">
            <v>0</v>
          </cell>
        </row>
        <row r="2038">
          <cell r="C2038">
            <v>0</v>
          </cell>
          <cell r="D2038" t="str">
            <v>Oficial</v>
          </cell>
          <cell r="E2038" t="str">
            <v>hs</v>
          </cell>
          <cell r="F2038">
            <v>56.619016000000002</v>
          </cell>
          <cell r="G2038">
            <v>0.6</v>
          </cell>
          <cell r="H2038">
            <v>33.971409600000001</v>
          </cell>
          <cell r="I2038">
            <v>0</v>
          </cell>
        </row>
        <row r="2039">
          <cell r="C2039">
            <v>0</v>
          </cell>
          <cell r="D2039" t="str">
            <v>Ayudante</v>
          </cell>
          <cell r="E2039" t="str">
            <v>hs</v>
          </cell>
          <cell r="F2039">
            <v>48.396512000000008</v>
          </cell>
          <cell r="G2039">
            <v>0.25</v>
          </cell>
          <cell r="H2039">
            <v>12.099128000000002</v>
          </cell>
          <cell r="I2039">
            <v>0</v>
          </cell>
        </row>
        <row r="2040">
          <cell r="C2040">
            <v>0</v>
          </cell>
          <cell r="D2040" t="str">
            <v>-</v>
          </cell>
          <cell r="E2040" t="str">
            <v>-</v>
          </cell>
          <cell r="F2040">
            <v>0</v>
          </cell>
          <cell r="G2040">
            <v>0</v>
          </cell>
          <cell r="H2040">
            <v>0</v>
          </cell>
          <cell r="I2040">
            <v>0</v>
          </cell>
        </row>
        <row r="2041">
          <cell r="C2041">
            <v>0</v>
          </cell>
          <cell r="D2041" t="str">
            <v>-</v>
          </cell>
          <cell r="E2041" t="str">
            <v>-</v>
          </cell>
          <cell r="F2041">
            <v>0</v>
          </cell>
          <cell r="G2041">
            <v>0</v>
          </cell>
          <cell r="H2041">
            <v>0</v>
          </cell>
          <cell r="I2041">
            <v>0</v>
          </cell>
        </row>
        <row r="2042">
          <cell r="C2042">
            <v>0</v>
          </cell>
          <cell r="D2042" t="str">
            <v>-</v>
          </cell>
          <cell r="E2042" t="str">
            <v>-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</row>
        <row r="2043">
          <cell r="C2043">
            <v>0</v>
          </cell>
          <cell r="D2043" t="str">
            <v>SUB TOTAL MANO DE OBRA</v>
          </cell>
          <cell r="E2043">
            <v>0</v>
          </cell>
          <cell r="F2043">
            <v>0</v>
          </cell>
          <cell r="G2043">
            <v>0</v>
          </cell>
          <cell r="H2043">
            <v>46.070537600000002</v>
          </cell>
          <cell r="I2043">
            <v>0</v>
          </cell>
        </row>
        <row r="2044">
          <cell r="C2044">
            <v>0</v>
          </cell>
          <cell r="D2044" t="str">
            <v>C- EQUIPOS:</v>
          </cell>
          <cell r="E2044">
            <v>0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</row>
        <row r="2045">
          <cell r="C2045">
            <v>0</v>
          </cell>
          <cell r="D2045" t="str">
            <v>Herramientas de Mano</v>
          </cell>
          <cell r="E2045" t="str">
            <v>gl</v>
          </cell>
          <cell r="F2045">
            <v>2.1762483594049589</v>
          </cell>
          <cell r="G2045">
            <v>1</v>
          </cell>
          <cell r="H2045">
            <v>2.1762483594049589</v>
          </cell>
          <cell r="I2045">
            <v>0</v>
          </cell>
        </row>
        <row r="2046">
          <cell r="C2046">
            <v>0</v>
          </cell>
          <cell r="D2046" t="str">
            <v>-</v>
          </cell>
          <cell r="E2046" t="str">
            <v>-</v>
          </cell>
          <cell r="F2046">
            <v>0</v>
          </cell>
          <cell r="G2046">
            <v>0</v>
          </cell>
          <cell r="H2046">
            <v>0</v>
          </cell>
          <cell r="I2046">
            <v>0</v>
          </cell>
        </row>
        <row r="2047">
          <cell r="C2047">
            <v>0</v>
          </cell>
          <cell r="D2047" t="str">
            <v>-</v>
          </cell>
          <cell r="E2047" t="str">
            <v>-</v>
          </cell>
          <cell r="F2047">
            <v>0</v>
          </cell>
          <cell r="G2047">
            <v>0</v>
          </cell>
          <cell r="H2047">
            <v>0</v>
          </cell>
          <cell r="I2047">
            <v>0</v>
          </cell>
        </row>
        <row r="2048">
          <cell r="C2048">
            <v>0</v>
          </cell>
          <cell r="D2048" t="str">
            <v>-</v>
          </cell>
          <cell r="E2048" t="str">
            <v>-</v>
          </cell>
          <cell r="F2048">
            <v>0</v>
          </cell>
          <cell r="G2048">
            <v>0</v>
          </cell>
          <cell r="H2048">
            <v>0</v>
          </cell>
          <cell r="I2048">
            <v>0</v>
          </cell>
        </row>
        <row r="2049">
          <cell r="C2049">
            <v>0</v>
          </cell>
          <cell r="D2049" t="str">
            <v>-</v>
          </cell>
          <cell r="E2049" t="str">
            <v>-</v>
          </cell>
          <cell r="F2049">
            <v>0</v>
          </cell>
          <cell r="G2049">
            <v>0</v>
          </cell>
          <cell r="H2049">
            <v>0</v>
          </cell>
          <cell r="I2049">
            <v>0</v>
          </cell>
        </row>
        <row r="2050">
          <cell r="C2050">
            <v>0</v>
          </cell>
          <cell r="D2050" t="str">
            <v>SUB TOTAL EQUIPOS</v>
          </cell>
          <cell r="E2050">
            <v>0</v>
          </cell>
          <cell r="F2050">
            <v>0</v>
          </cell>
          <cell r="G2050">
            <v>0</v>
          </cell>
          <cell r="H2050">
            <v>2.1762483594049589</v>
          </cell>
          <cell r="I2050">
            <v>0</v>
          </cell>
        </row>
        <row r="2051">
          <cell r="C2051">
            <v>0</v>
          </cell>
          <cell r="D2051">
            <v>0</v>
          </cell>
          <cell r="E2051">
            <v>0</v>
          </cell>
          <cell r="F2051">
            <v>0</v>
          </cell>
          <cell r="G2051">
            <v>0</v>
          </cell>
          <cell r="H2051">
            <v>0</v>
          </cell>
          <cell r="I2051">
            <v>0</v>
          </cell>
        </row>
        <row r="2052">
          <cell r="B2052">
            <v>38</v>
          </cell>
          <cell r="C2052">
            <v>0</v>
          </cell>
          <cell r="D2052" t="str">
            <v>COSTO-COSTO</v>
          </cell>
          <cell r="E2052">
            <v>0</v>
          </cell>
          <cell r="F2052">
            <v>0</v>
          </cell>
          <cell r="G2052">
            <v>0</v>
          </cell>
          <cell r="H2052">
            <v>74.717860339570251</v>
          </cell>
          <cell r="I2052">
            <v>0</v>
          </cell>
        </row>
        <row r="2053">
          <cell r="C2053">
            <v>0</v>
          </cell>
          <cell r="D2053" t="str">
            <v>GASTO FINANCIERO</v>
          </cell>
          <cell r="E2053">
            <v>0</v>
          </cell>
          <cell r="F2053">
            <v>0</v>
          </cell>
          <cell r="G2053">
            <v>0.02</v>
          </cell>
          <cell r="H2053">
            <v>1.494357206791405</v>
          </cell>
          <cell r="I2053">
            <v>0</v>
          </cell>
        </row>
        <row r="2054">
          <cell r="C2054">
            <v>0</v>
          </cell>
          <cell r="D2054" t="str">
            <v>SUB TOTAL</v>
          </cell>
          <cell r="E2054">
            <v>0</v>
          </cell>
          <cell r="F2054">
            <v>0</v>
          </cell>
          <cell r="G2054">
            <v>0</v>
          </cell>
          <cell r="H2054">
            <v>76.212217546361657</v>
          </cell>
          <cell r="I2054">
            <v>0</v>
          </cell>
        </row>
        <row r="2055">
          <cell r="C2055">
            <v>0</v>
          </cell>
          <cell r="D2055" t="str">
            <v>GASTOS GENERALES</v>
          </cell>
          <cell r="E2055">
            <v>0</v>
          </cell>
          <cell r="F2055">
            <v>0</v>
          </cell>
          <cell r="G2055">
            <v>0.35116211482007981</v>
          </cell>
          <cell r="H2055">
            <v>26.762843488708352</v>
          </cell>
          <cell r="I2055">
            <v>0</v>
          </cell>
        </row>
        <row r="2056">
          <cell r="C2056">
            <v>0</v>
          </cell>
          <cell r="D2056" t="str">
            <v>BENEFICIO</v>
          </cell>
          <cell r="E2056">
            <v>0</v>
          </cell>
          <cell r="F2056">
            <v>0</v>
          </cell>
          <cell r="G2056">
            <v>0.1</v>
          </cell>
          <cell r="H2056">
            <v>7.6212217546361662</v>
          </cell>
          <cell r="I2056">
            <v>0</v>
          </cell>
        </row>
        <row r="2057">
          <cell r="C2057">
            <v>0</v>
          </cell>
          <cell r="D2057" t="str">
            <v>COSTO TOTAL UNITARIO</v>
          </cell>
          <cell r="E2057">
            <v>0</v>
          </cell>
          <cell r="F2057">
            <v>0</v>
          </cell>
          <cell r="G2057">
            <v>0</v>
          </cell>
          <cell r="H2057">
            <v>110.59628278970618</v>
          </cell>
          <cell r="I2057">
            <v>0</v>
          </cell>
        </row>
        <row r="2058">
          <cell r="C2058">
            <v>0</v>
          </cell>
          <cell r="D2058" t="str">
            <v>IMPUETOS</v>
          </cell>
          <cell r="E2058">
            <v>0</v>
          </cell>
          <cell r="F2058" t="str">
            <v>IIBB</v>
          </cell>
          <cell r="G2058">
            <v>2.4E-2</v>
          </cell>
          <cell r="H2058">
            <v>2.6543107869529483</v>
          </cell>
          <cell r="I2058">
            <v>0</v>
          </cell>
        </row>
        <row r="2059">
          <cell r="C2059">
            <v>0</v>
          </cell>
          <cell r="D2059">
            <v>0</v>
          </cell>
          <cell r="E2059">
            <v>0</v>
          </cell>
          <cell r="F2059" t="str">
            <v>IVA</v>
          </cell>
          <cell r="G2059">
            <v>0.21</v>
          </cell>
          <cell r="H2059">
            <v>23.225219385838297</v>
          </cell>
          <cell r="I2059">
            <v>0</v>
          </cell>
        </row>
        <row r="2060">
          <cell r="C2060">
            <v>0</v>
          </cell>
          <cell r="D2060">
            <v>0</v>
          </cell>
          <cell r="E2060">
            <v>0</v>
          </cell>
          <cell r="F2060">
            <v>0</v>
          </cell>
          <cell r="G2060">
            <v>0</v>
          </cell>
          <cell r="H2060">
            <v>0</v>
          </cell>
          <cell r="I2060">
            <v>0</v>
          </cell>
        </row>
        <row r="2061">
          <cell r="C2061">
            <v>0</v>
          </cell>
          <cell r="D2061" t="str">
            <v>PRECIO TOTAL UNITARIO</v>
          </cell>
          <cell r="E2061">
            <v>0</v>
          </cell>
          <cell r="F2061">
            <v>0</v>
          </cell>
          <cell r="G2061">
            <v>0</v>
          </cell>
          <cell r="H2061">
            <v>136.47581296249743</v>
          </cell>
          <cell r="I2061">
            <v>0</v>
          </cell>
        </row>
        <row r="2062">
          <cell r="C2062">
            <v>0</v>
          </cell>
          <cell r="D2062">
            <v>0</v>
          </cell>
          <cell r="E2062">
            <v>0</v>
          </cell>
          <cell r="F2062">
            <v>0</v>
          </cell>
          <cell r="G2062">
            <v>0</v>
          </cell>
          <cell r="H2062">
            <v>0</v>
          </cell>
          <cell r="I2062">
            <v>0</v>
          </cell>
        </row>
        <row r="2063">
          <cell r="C2063">
            <v>0</v>
          </cell>
          <cell r="D2063">
            <v>0</v>
          </cell>
          <cell r="E2063">
            <v>0</v>
          </cell>
          <cell r="F2063">
            <v>0</v>
          </cell>
          <cell r="G2063">
            <v>0</v>
          </cell>
          <cell r="H2063">
            <v>0</v>
          </cell>
          <cell r="I2063">
            <v>0</v>
          </cell>
        </row>
        <row r="2064">
          <cell r="C2064">
            <v>0</v>
          </cell>
          <cell r="D2064" t="str">
            <v>Rubro:</v>
          </cell>
          <cell r="E2064">
            <v>10</v>
          </cell>
          <cell r="F2064" t="str">
            <v xml:space="preserve">Pintura </v>
          </cell>
          <cell r="G2064" t="e">
            <v>#NAME?</v>
          </cell>
          <cell r="H2064" t="e">
            <v>#NAME?</v>
          </cell>
          <cell r="I2064">
            <v>0</v>
          </cell>
        </row>
        <row r="2065">
          <cell r="C2065">
            <v>0</v>
          </cell>
          <cell r="D2065" t="str">
            <v>Sub Rubro:</v>
          </cell>
          <cell r="E2065">
            <v>10.4</v>
          </cell>
          <cell r="F2065" t="str">
            <v>Lustrado de Carpintería</v>
          </cell>
          <cell r="G2065" t="e">
            <v>#NAME?</v>
          </cell>
          <cell r="H2065" t="e">
            <v>#NAME?</v>
          </cell>
          <cell r="I2065">
            <v>0</v>
          </cell>
        </row>
        <row r="2066">
          <cell r="C2066">
            <v>0</v>
          </cell>
          <cell r="D2066" t="str">
            <v>Ítem:</v>
          </cell>
          <cell r="E2066">
            <v>10.4</v>
          </cell>
          <cell r="F2066" t="str">
            <v>Lustrado de Carpintería</v>
          </cell>
          <cell r="G2066" t="e">
            <v>#NAME?</v>
          </cell>
          <cell r="H2066" t="e">
            <v>#NAME?</v>
          </cell>
          <cell r="I2066">
            <v>0</v>
          </cell>
        </row>
        <row r="2067">
          <cell r="C2067">
            <v>0</v>
          </cell>
          <cell r="D2067" t="str">
            <v>Unida:</v>
          </cell>
          <cell r="E2067" t="str">
            <v>gl</v>
          </cell>
          <cell r="F2067">
            <v>0</v>
          </cell>
          <cell r="G2067">
            <v>0</v>
          </cell>
          <cell r="H2067">
            <v>0</v>
          </cell>
          <cell r="I2067">
            <v>0</v>
          </cell>
        </row>
        <row r="2068">
          <cell r="C2068">
            <v>0</v>
          </cell>
          <cell r="D2068" t="str">
            <v>DENOMINACION</v>
          </cell>
          <cell r="E2068" t="str">
            <v>UNIDAD</v>
          </cell>
          <cell r="F2068" t="str">
            <v>COSTO UNITARIO</v>
          </cell>
          <cell r="G2068" t="str">
            <v>RENDIMIENTO POR UNIDAD</v>
          </cell>
          <cell r="H2068" t="str">
            <v>COSTO PARCIAL</v>
          </cell>
          <cell r="I2068">
            <v>0</v>
          </cell>
        </row>
        <row r="2069">
          <cell r="C2069">
            <v>0</v>
          </cell>
          <cell r="D2069" t="str">
            <v>A- MATERIALES: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</row>
        <row r="2070">
          <cell r="C2070">
            <v>0</v>
          </cell>
          <cell r="D2070" t="str">
            <v>Lustre Tekno Cetol</v>
          </cell>
          <cell r="E2070" t="str">
            <v>lts</v>
          </cell>
          <cell r="F2070">
            <v>71.280991735537185</v>
          </cell>
          <cell r="G2070">
            <v>20</v>
          </cell>
          <cell r="H2070">
            <v>1425.6198347107438</v>
          </cell>
          <cell r="I2070">
            <v>0</v>
          </cell>
        </row>
        <row r="2071">
          <cell r="C2071">
            <v>0</v>
          </cell>
          <cell r="D2071" t="str">
            <v>Tiner</v>
          </cell>
          <cell r="E2071" t="str">
            <v>lts</v>
          </cell>
          <cell r="F2071">
            <v>28.264462809917358</v>
          </cell>
          <cell r="G2071">
            <v>40</v>
          </cell>
          <cell r="H2071">
            <v>1130.5785123966944</v>
          </cell>
          <cell r="I2071">
            <v>0</v>
          </cell>
        </row>
        <row r="2072">
          <cell r="C2072">
            <v>0</v>
          </cell>
          <cell r="D2072">
            <v>0</v>
          </cell>
          <cell r="E2072" t="str">
            <v>-</v>
          </cell>
          <cell r="F2072">
            <v>0</v>
          </cell>
          <cell r="G2072">
            <v>0</v>
          </cell>
          <cell r="H2072">
            <v>0</v>
          </cell>
          <cell r="I2072">
            <v>0</v>
          </cell>
        </row>
        <row r="2073">
          <cell r="C2073">
            <v>0</v>
          </cell>
          <cell r="D2073">
            <v>0</v>
          </cell>
          <cell r="E2073" t="str">
            <v>-</v>
          </cell>
          <cell r="F2073">
            <v>0</v>
          </cell>
          <cell r="G2073">
            <v>0</v>
          </cell>
          <cell r="H2073">
            <v>0</v>
          </cell>
          <cell r="I2073">
            <v>0</v>
          </cell>
        </row>
        <row r="2074">
          <cell r="C2074">
            <v>0</v>
          </cell>
          <cell r="D2074">
            <v>0</v>
          </cell>
          <cell r="E2074" t="str">
            <v>-</v>
          </cell>
          <cell r="F2074">
            <v>0</v>
          </cell>
          <cell r="G2074">
            <v>0</v>
          </cell>
          <cell r="H2074">
            <v>0</v>
          </cell>
          <cell r="I2074">
            <v>0</v>
          </cell>
        </row>
        <row r="2075">
          <cell r="C2075">
            <v>0</v>
          </cell>
          <cell r="D2075">
            <v>0</v>
          </cell>
          <cell r="E2075" t="str">
            <v>-</v>
          </cell>
          <cell r="F2075">
            <v>0</v>
          </cell>
          <cell r="G2075">
            <v>0</v>
          </cell>
          <cell r="H2075">
            <v>0</v>
          </cell>
          <cell r="I2075">
            <v>0</v>
          </cell>
        </row>
        <row r="2076">
          <cell r="C2076">
            <v>0</v>
          </cell>
          <cell r="D2076">
            <v>0</v>
          </cell>
          <cell r="E2076" t="str">
            <v>-</v>
          </cell>
          <cell r="F2076">
            <v>0</v>
          </cell>
          <cell r="G2076">
            <v>0</v>
          </cell>
          <cell r="H2076">
            <v>0</v>
          </cell>
          <cell r="I2076">
            <v>0</v>
          </cell>
        </row>
        <row r="2077">
          <cell r="C2077">
            <v>0</v>
          </cell>
          <cell r="D2077">
            <v>0</v>
          </cell>
          <cell r="E2077" t="str">
            <v>-</v>
          </cell>
          <cell r="F2077">
            <v>0</v>
          </cell>
          <cell r="G2077">
            <v>0</v>
          </cell>
          <cell r="H2077">
            <v>0</v>
          </cell>
          <cell r="I2077">
            <v>0</v>
          </cell>
        </row>
        <row r="2078">
          <cell r="C2078">
            <v>0</v>
          </cell>
          <cell r="D2078">
            <v>0</v>
          </cell>
          <cell r="E2078" t="str">
            <v>-</v>
          </cell>
          <cell r="F2078">
            <v>0</v>
          </cell>
          <cell r="G2078">
            <v>0</v>
          </cell>
          <cell r="H2078">
            <v>0</v>
          </cell>
          <cell r="I2078">
            <v>0</v>
          </cell>
        </row>
        <row r="2079">
          <cell r="C2079">
            <v>0</v>
          </cell>
          <cell r="D2079">
            <v>0</v>
          </cell>
          <cell r="E2079" t="str">
            <v>-</v>
          </cell>
          <cell r="F2079">
            <v>0</v>
          </cell>
          <cell r="G2079">
            <v>0</v>
          </cell>
          <cell r="H2079">
            <v>0</v>
          </cell>
          <cell r="I2079">
            <v>0</v>
          </cell>
        </row>
        <row r="2080">
          <cell r="C2080">
            <v>0</v>
          </cell>
          <cell r="D2080">
            <v>0</v>
          </cell>
          <cell r="E2080" t="str">
            <v>-</v>
          </cell>
          <cell r="F2080">
            <v>0</v>
          </cell>
          <cell r="G2080">
            <v>0</v>
          </cell>
          <cell r="H2080">
            <v>0</v>
          </cell>
          <cell r="I2080">
            <v>0</v>
          </cell>
        </row>
        <row r="2081">
          <cell r="C2081">
            <v>0</v>
          </cell>
          <cell r="D2081">
            <v>0</v>
          </cell>
          <cell r="E2081" t="str">
            <v>-</v>
          </cell>
          <cell r="F2081">
            <v>0</v>
          </cell>
          <cell r="G2081">
            <v>0</v>
          </cell>
          <cell r="H2081">
            <v>0</v>
          </cell>
          <cell r="I2081">
            <v>0</v>
          </cell>
        </row>
        <row r="2082">
          <cell r="C2082">
            <v>0</v>
          </cell>
          <cell r="D2082">
            <v>0</v>
          </cell>
          <cell r="E2082" t="str">
            <v>-</v>
          </cell>
          <cell r="F2082">
            <v>0</v>
          </cell>
          <cell r="G2082">
            <v>0</v>
          </cell>
          <cell r="H2082">
            <v>0</v>
          </cell>
          <cell r="I2082">
            <v>0</v>
          </cell>
        </row>
        <row r="2083">
          <cell r="C2083">
            <v>0</v>
          </cell>
          <cell r="D2083">
            <v>0</v>
          </cell>
          <cell r="E2083" t="str">
            <v>-</v>
          </cell>
          <cell r="F2083">
            <v>0</v>
          </cell>
          <cell r="G2083">
            <v>0</v>
          </cell>
          <cell r="H2083">
            <v>0</v>
          </cell>
          <cell r="I2083">
            <v>0</v>
          </cell>
        </row>
        <row r="2084">
          <cell r="C2084">
            <v>0</v>
          </cell>
          <cell r="D2084">
            <v>0</v>
          </cell>
          <cell r="E2084" t="str">
            <v>-</v>
          </cell>
          <cell r="F2084">
            <v>0</v>
          </cell>
          <cell r="G2084">
            <v>0</v>
          </cell>
          <cell r="H2084">
            <v>0</v>
          </cell>
          <cell r="I2084">
            <v>0</v>
          </cell>
        </row>
        <row r="2085">
          <cell r="C2085">
            <v>0</v>
          </cell>
          <cell r="D2085">
            <v>0</v>
          </cell>
          <cell r="E2085" t="str">
            <v>-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</row>
        <row r="2086">
          <cell r="C2086">
            <v>0</v>
          </cell>
          <cell r="D2086">
            <v>0</v>
          </cell>
          <cell r="E2086" t="str">
            <v>-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</row>
        <row r="2087">
          <cell r="C2087">
            <v>0</v>
          </cell>
          <cell r="D2087">
            <v>0</v>
          </cell>
          <cell r="E2087" t="str">
            <v>-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</row>
        <row r="2088">
          <cell r="C2088">
            <v>0</v>
          </cell>
          <cell r="D2088">
            <v>0</v>
          </cell>
          <cell r="E2088" t="str">
            <v>-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</row>
        <row r="2089">
          <cell r="C2089">
            <v>0</v>
          </cell>
          <cell r="D2089">
            <v>0</v>
          </cell>
          <cell r="E2089" t="str">
            <v>-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</row>
        <row r="2090">
          <cell r="C2090">
            <v>0</v>
          </cell>
          <cell r="D2090" t="str">
            <v>SUB TOTAL MATERIALES</v>
          </cell>
          <cell r="E2090">
            <v>0</v>
          </cell>
          <cell r="F2090">
            <v>0</v>
          </cell>
          <cell r="G2090">
            <v>0</v>
          </cell>
          <cell r="H2090">
            <v>2556.1983471074382</v>
          </cell>
          <cell r="I2090">
            <v>0</v>
          </cell>
        </row>
        <row r="2091">
          <cell r="C2091">
            <v>0</v>
          </cell>
          <cell r="D2091" t="str">
            <v>B- MANO DE OBRA: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</row>
        <row r="2092">
          <cell r="C2092">
            <v>0</v>
          </cell>
          <cell r="D2092" t="str">
            <v>Oficial</v>
          </cell>
          <cell r="E2092" t="str">
            <v>hs</v>
          </cell>
          <cell r="F2092">
            <v>56.619016000000002</v>
          </cell>
          <cell r="G2092">
            <v>300</v>
          </cell>
          <cell r="H2092">
            <v>16985.7048</v>
          </cell>
          <cell r="I2092">
            <v>0</v>
          </cell>
        </row>
        <row r="2093">
          <cell r="C2093">
            <v>0</v>
          </cell>
          <cell r="D2093" t="str">
            <v>Ayudante</v>
          </cell>
          <cell r="E2093" t="str">
            <v>hs</v>
          </cell>
          <cell r="F2093">
            <v>48.396512000000008</v>
          </cell>
          <cell r="G2093">
            <v>89.931968650963867</v>
          </cell>
          <cell r="H2093">
            <v>4352.3935999999976</v>
          </cell>
          <cell r="I2093">
            <v>0</v>
          </cell>
        </row>
        <row r="2094">
          <cell r="C2094">
            <v>0</v>
          </cell>
          <cell r="D2094" t="str">
            <v>-</v>
          </cell>
          <cell r="E2094" t="str">
            <v>-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</row>
        <row r="2095">
          <cell r="C2095">
            <v>0</v>
          </cell>
          <cell r="D2095" t="str">
            <v>-</v>
          </cell>
          <cell r="E2095" t="str">
            <v>-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</row>
        <row r="2096">
          <cell r="C2096">
            <v>0</v>
          </cell>
          <cell r="D2096" t="str">
            <v>-</v>
          </cell>
          <cell r="E2096" t="str">
            <v>-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</row>
        <row r="2097">
          <cell r="C2097">
            <v>0</v>
          </cell>
          <cell r="D2097" t="str">
            <v>SUB TOTAL MANO DE OBRA</v>
          </cell>
          <cell r="E2097">
            <v>0</v>
          </cell>
          <cell r="F2097">
            <v>0</v>
          </cell>
          <cell r="G2097">
            <v>0</v>
          </cell>
          <cell r="H2097">
            <v>21338.098399999995</v>
          </cell>
          <cell r="I2097">
            <v>0</v>
          </cell>
        </row>
        <row r="2098">
          <cell r="C2098">
            <v>0</v>
          </cell>
          <cell r="D2098" t="str">
            <v>C- EQUIPOS: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</row>
        <row r="2099">
          <cell r="C2099">
            <v>0</v>
          </cell>
          <cell r="D2099" t="str">
            <v>Herramientas de Mano</v>
          </cell>
          <cell r="E2099" t="str">
            <v>gl</v>
          </cell>
          <cell r="F2099">
            <v>716.82890241322298</v>
          </cell>
          <cell r="G2099">
            <v>1</v>
          </cell>
          <cell r="H2099">
            <v>716.82890241322298</v>
          </cell>
          <cell r="I2099">
            <v>0</v>
          </cell>
        </row>
        <row r="2100">
          <cell r="C2100">
            <v>0</v>
          </cell>
          <cell r="D2100" t="str">
            <v>-</v>
          </cell>
          <cell r="E2100" t="str">
            <v>-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</row>
        <row r="2101">
          <cell r="C2101">
            <v>0</v>
          </cell>
          <cell r="D2101" t="str">
            <v>-</v>
          </cell>
          <cell r="E2101" t="str">
            <v>-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</row>
        <row r="2102">
          <cell r="C2102">
            <v>0</v>
          </cell>
          <cell r="D2102" t="str">
            <v>-</v>
          </cell>
          <cell r="E2102" t="str">
            <v>-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</row>
        <row r="2103">
          <cell r="C2103">
            <v>0</v>
          </cell>
          <cell r="D2103" t="str">
            <v>-</v>
          </cell>
          <cell r="E2103" t="str">
            <v>-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</row>
        <row r="2104">
          <cell r="C2104">
            <v>0</v>
          </cell>
          <cell r="D2104" t="str">
            <v>SUB TOTAL EQUIPOS</v>
          </cell>
          <cell r="E2104">
            <v>0</v>
          </cell>
          <cell r="F2104">
            <v>0</v>
          </cell>
          <cell r="G2104">
            <v>0</v>
          </cell>
          <cell r="H2104">
            <v>716.82890241322298</v>
          </cell>
          <cell r="I2104">
            <v>0</v>
          </cell>
        </row>
        <row r="2105">
          <cell r="C2105">
            <v>0</v>
          </cell>
          <cell r="D2105">
            <v>0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</row>
        <row r="2106">
          <cell r="B2106">
            <v>39</v>
          </cell>
          <cell r="C2106">
            <v>0</v>
          </cell>
          <cell r="D2106" t="str">
            <v>COSTO-COSTO</v>
          </cell>
          <cell r="E2106">
            <v>0</v>
          </cell>
          <cell r="F2106">
            <v>0</v>
          </cell>
          <cell r="G2106">
            <v>0</v>
          </cell>
          <cell r="H2106">
            <v>24611.125649520658</v>
          </cell>
          <cell r="I2106">
            <v>0</v>
          </cell>
        </row>
        <row r="2107">
          <cell r="C2107">
            <v>0</v>
          </cell>
          <cell r="D2107" t="str">
            <v>GASTO FINANCIERO</v>
          </cell>
          <cell r="E2107">
            <v>0</v>
          </cell>
          <cell r="F2107">
            <v>0</v>
          </cell>
          <cell r="G2107">
            <v>0.02</v>
          </cell>
          <cell r="H2107">
            <v>492.22251299041318</v>
          </cell>
          <cell r="I2107">
            <v>0</v>
          </cell>
        </row>
        <row r="2108">
          <cell r="C2108">
            <v>0</v>
          </cell>
          <cell r="D2108" t="str">
            <v>SUB TOTAL</v>
          </cell>
          <cell r="E2108">
            <v>0</v>
          </cell>
          <cell r="F2108">
            <v>0</v>
          </cell>
          <cell r="G2108">
            <v>0</v>
          </cell>
          <cell r="H2108">
            <v>25103.348162511073</v>
          </cell>
          <cell r="I2108">
            <v>0</v>
          </cell>
        </row>
        <row r="2109">
          <cell r="C2109">
            <v>0</v>
          </cell>
          <cell r="D2109" t="str">
            <v>GASTOS GENERALES</v>
          </cell>
          <cell r="E2109">
            <v>0</v>
          </cell>
          <cell r="F2109">
            <v>0</v>
          </cell>
          <cell r="G2109">
            <v>0.35116211482007981</v>
          </cell>
          <cell r="H2109">
            <v>8815.344829812153</v>
          </cell>
          <cell r="I2109">
            <v>0</v>
          </cell>
        </row>
        <row r="2110">
          <cell r="C2110">
            <v>0</v>
          </cell>
          <cell r="D2110" t="str">
            <v>BENEFICIO</v>
          </cell>
          <cell r="E2110">
            <v>0</v>
          </cell>
          <cell r="F2110">
            <v>0</v>
          </cell>
          <cell r="G2110">
            <v>0.1</v>
          </cell>
          <cell r="H2110">
            <v>2510.3348162511074</v>
          </cell>
          <cell r="I2110">
            <v>0</v>
          </cell>
        </row>
        <row r="2111">
          <cell r="C2111">
            <v>0</v>
          </cell>
          <cell r="D2111" t="str">
            <v>COSTO TOTAL UNITARIO</v>
          </cell>
          <cell r="E2111">
            <v>0</v>
          </cell>
          <cell r="F2111">
            <v>0</v>
          </cell>
          <cell r="G2111">
            <v>0</v>
          </cell>
          <cell r="H2111">
            <v>36429.027808574334</v>
          </cell>
          <cell r="I2111">
            <v>0</v>
          </cell>
        </row>
        <row r="2112">
          <cell r="C2112">
            <v>0</v>
          </cell>
          <cell r="D2112" t="str">
            <v>IMPUETOS</v>
          </cell>
          <cell r="E2112">
            <v>0</v>
          </cell>
          <cell r="F2112" t="str">
            <v>IIBB</v>
          </cell>
          <cell r="G2112">
            <v>2.4E-2</v>
          </cell>
          <cell r="H2112">
            <v>874.29666740578398</v>
          </cell>
          <cell r="I2112">
            <v>0</v>
          </cell>
        </row>
        <row r="2113">
          <cell r="C2113">
            <v>0</v>
          </cell>
          <cell r="D2113">
            <v>0</v>
          </cell>
          <cell r="E2113">
            <v>0</v>
          </cell>
          <cell r="F2113" t="str">
            <v>IVA</v>
          </cell>
          <cell r="G2113">
            <v>0.21</v>
          </cell>
          <cell r="H2113">
            <v>7650.0958398006096</v>
          </cell>
          <cell r="I2113">
            <v>0</v>
          </cell>
        </row>
        <row r="2114">
          <cell r="C2114">
            <v>0</v>
          </cell>
          <cell r="D2114">
            <v>0</v>
          </cell>
          <cell r="E2114">
            <v>0</v>
          </cell>
          <cell r="F2114">
            <v>0</v>
          </cell>
          <cell r="G2114">
            <v>0</v>
          </cell>
          <cell r="H2114">
            <v>0</v>
          </cell>
          <cell r="I2114">
            <v>0</v>
          </cell>
        </row>
        <row r="2115">
          <cell r="C2115">
            <v>0</v>
          </cell>
          <cell r="D2115" t="str">
            <v>PRECIO TOTAL UNITARIO</v>
          </cell>
          <cell r="E2115">
            <v>0</v>
          </cell>
          <cell r="F2115">
            <v>0</v>
          </cell>
          <cell r="G2115">
            <v>0</v>
          </cell>
          <cell r="H2115">
            <v>44953.420315780728</v>
          </cell>
          <cell r="I2115">
            <v>0</v>
          </cell>
        </row>
        <row r="2116">
          <cell r="C2116">
            <v>0</v>
          </cell>
          <cell r="D2116">
            <v>0</v>
          </cell>
          <cell r="E2116">
            <v>0</v>
          </cell>
          <cell r="F2116">
            <v>0</v>
          </cell>
          <cell r="G2116">
            <v>0</v>
          </cell>
          <cell r="H2116">
            <v>0</v>
          </cell>
          <cell r="I2116">
            <v>0</v>
          </cell>
        </row>
        <row r="2117">
          <cell r="C2117">
            <v>0</v>
          </cell>
          <cell r="D2117">
            <v>0</v>
          </cell>
          <cell r="E2117">
            <v>0</v>
          </cell>
          <cell r="F2117">
            <v>0</v>
          </cell>
          <cell r="G2117">
            <v>0</v>
          </cell>
          <cell r="H2117">
            <v>0</v>
          </cell>
          <cell r="I2117">
            <v>0</v>
          </cell>
        </row>
        <row r="2118">
          <cell r="C2118">
            <v>0</v>
          </cell>
          <cell r="D2118" t="str">
            <v>Rubro:</v>
          </cell>
          <cell r="E2118">
            <v>11</v>
          </cell>
          <cell r="F2118" t="str">
            <v>Carpintería</v>
          </cell>
          <cell r="G2118" t="e">
            <v>#NAME?</v>
          </cell>
          <cell r="H2118" t="e">
            <v>#NAME?</v>
          </cell>
          <cell r="I2118">
            <v>0</v>
          </cell>
        </row>
        <row r="2119">
          <cell r="C2119">
            <v>0</v>
          </cell>
          <cell r="D2119" t="str">
            <v>Sub Rubro:</v>
          </cell>
          <cell r="E2119">
            <v>11.1</v>
          </cell>
          <cell r="F2119" t="str">
            <v>De Madera</v>
          </cell>
          <cell r="G2119" t="e">
            <v>#NAME?</v>
          </cell>
          <cell r="H2119" t="e">
            <v>#NAME?</v>
          </cell>
          <cell r="I2119">
            <v>0</v>
          </cell>
        </row>
        <row r="2120">
          <cell r="C2120">
            <v>0</v>
          </cell>
          <cell r="D2120" t="str">
            <v>Ítem:</v>
          </cell>
          <cell r="E2120">
            <v>11.1</v>
          </cell>
          <cell r="F2120" t="str">
            <v>De Madera</v>
          </cell>
          <cell r="G2120" t="e">
            <v>#NAME?</v>
          </cell>
          <cell r="H2120" t="e">
            <v>#NAME?</v>
          </cell>
          <cell r="I2120">
            <v>0</v>
          </cell>
        </row>
        <row r="2121">
          <cell r="C2121">
            <v>0</v>
          </cell>
          <cell r="D2121" t="str">
            <v>Unida:</v>
          </cell>
          <cell r="E2121" t="str">
            <v>gl</v>
          </cell>
          <cell r="F2121">
            <v>0</v>
          </cell>
          <cell r="G2121">
            <v>0</v>
          </cell>
          <cell r="H2121">
            <v>0</v>
          </cell>
          <cell r="I2121">
            <v>0</v>
          </cell>
        </row>
        <row r="2122">
          <cell r="C2122">
            <v>0</v>
          </cell>
          <cell r="D2122" t="str">
            <v>DENOMINACION</v>
          </cell>
          <cell r="E2122" t="str">
            <v>UNIDAD</v>
          </cell>
          <cell r="F2122" t="str">
            <v>COSTO UNITARIO</v>
          </cell>
          <cell r="G2122" t="str">
            <v>RENDIMIENTO POR UNIDAD</v>
          </cell>
          <cell r="H2122" t="str">
            <v>COSTO PARCIAL</v>
          </cell>
          <cell r="I2122">
            <v>0</v>
          </cell>
        </row>
        <row r="2123">
          <cell r="C2123">
            <v>0</v>
          </cell>
          <cell r="D2123" t="str">
            <v>A- MATERIALES:</v>
          </cell>
          <cell r="E2123">
            <v>0</v>
          </cell>
          <cell r="F2123">
            <v>0</v>
          </cell>
          <cell r="G2123">
            <v>0</v>
          </cell>
          <cell r="H2123">
            <v>0</v>
          </cell>
          <cell r="I2123">
            <v>0</v>
          </cell>
        </row>
        <row r="2124">
          <cell r="C2124">
            <v>0</v>
          </cell>
          <cell r="D2124" t="str">
            <v>Herrajes</v>
          </cell>
          <cell r="E2124" t="str">
            <v>un</v>
          </cell>
          <cell r="F2124">
            <v>860</v>
          </cell>
          <cell r="G2124">
            <v>14</v>
          </cell>
          <cell r="H2124">
            <v>12040</v>
          </cell>
          <cell r="I2124">
            <v>0</v>
          </cell>
        </row>
        <row r="2125">
          <cell r="C2125">
            <v>0</v>
          </cell>
          <cell r="D2125" t="str">
            <v>PV</v>
          </cell>
          <cell r="E2125" t="str">
            <v>un</v>
          </cell>
          <cell r="F2125">
            <v>11400</v>
          </cell>
          <cell r="G2125">
            <v>2</v>
          </cell>
          <cell r="H2125">
            <v>22800</v>
          </cell>
          <cell r="I2125">
            <v>0</v>
          </cell>
        </row>
        <row r="2126">
          <cell r="C2126">
            <v>0</v>
          </cell>
          <cell r="D2126" t="str">
            <v>Pc</v>
          </cell>
          <cell r="E2126" t="str">
            <v>un</v>
          </cell>
          <cell r="F2126">
            <v>8200</v>
          </cell>
          <cell r="G2126">
            <v>1</v>
          </cell>
          <cell r="H2126">
            <v>8200</v>
          </cell>
          <cell r="I2126">
            <v>0</v>
          </cell>
        </row>
        <row r="2127">
          <cell r="C2127">
            <v>0</v>
          </cell>
          <cell r="D2127" t="str">
            <v>Pp</v>
          </cell>
          <cell r="E2127" t="str">
            <v>un</v>
          </cell>
          <cell r="F2127">
            <v>1800</v>
          </cell>
          <cell r="G2127">
            <v>4</v>
          </cell>
          <cell r="H2127">
            <v>7200</v>
          </cell>
          <cell r="I2127">
            <v>0</v>
          </cell>
        </row>
        <row r="2128">
          <cell r="C2128">
            <v>0</v>
          </cell>
          <cell r="D2128" t="str">
            <v>P</v>
          </cell>
          <cell r="E2128" t="str">
            <v>un</v>
          </cell>
          <cell r="F2128">
            <v>2500</v>
          </cell>
          <cell r="G2128">
            <v>1</v>
          </cell>
          <cell r="H2128">
            <v>2500</v>
          </cell>
          <cell r="I2128">
            <v>0</v>
          </cell>
        </row>
        <row r="2129">
          <cell r="C2129">
            <v>0</v>
          </cell>
          <cell r="D2129" t="str">
            <v>Pva</v>
          </cell>
          <cell r="E2129" t="str">
            <v>un</v>
          </cell>
          <cell r="F2129">
            <v>6800</v>
          </cell>
          <cell r="G2129">
            <v>1</v>
          </cell>
          <cell r="H2129">
            <v>6800</v>
          </cell>
          <cell r="I2129">
            <v>0</v>
          </cell>
        </row>
        <row r="2130">
          <cell r="C2130">
            <v>0</v>
          </cell>
          <cell r="D2130" t="str">
            <v>Pd</v>
          </cell>
          <cell r="E2130" t="str">
            <v>un</v>
          </cell>
          <cell r="F2130">
            <v>1500</v>
          </cell>
          <cell r="G2130">
            <v>1</v>
          </cell>
          <cell r="H2130">
            <v>1500</v>
          </cell>
          <cell r="I2130">
            <v>0</v>
          </cell>
        </row>
        <row r="2131">
          <cell r="C2131">
            <v>0</v>
          </cell>
          <cell r="D2131" t="str">
            <v>Vaa</v>
          </cell>
          <cell r="E2131" t="str">
            <v>un</v>
          </cell>
          <cell r="F2131">
            <v>2000</v>
          </cell>
          <cell r="G2131">
            <v>1</v>
          </cell>
          <cell r="H2131">
            <v>2000</v>
          </cell>
          <cell r="I2131">
            <v>0</v>
          </cell>
        </row>
        <row r="2132">
          <cell r="C2132">
            <v>0</v>
          </cell>
          <cell r="D2132" t="str">
            <v>Vidrio 3+3</v>
          </cell>
          <cell r="E2132" t="str">
            <v>m²</v>
          </cell>
          <cell r="F2132">
            <v>495.86776859504135</v>
          </cell>
          <cell r="G2132">
            <v>30</v>
          </cell>
          <cell r="H2132">
            <v>14876.03305785124</v>
          </cell>
          <cell r="I2132">
            <v>0</v>
          </cell>
        </row>
        <row r="2133">
          <cell r="C2133">
            <v>0</v>
          </cell>
          <cell r="D2133">
            <v>0</v>
          </cell>
          <cell r="E2133" t="str">
            <v>-</v>
          </cell>
          <cell r="F2133">
            <v>0</v>
          </cell>
          <cell r="G2133">
            <v>0</v>
          </cell>
          <cell r="H2133">
            <v>0</v>
          </cell>
          <cell r="I2133">
            <v>0</v>
          </cell>
        </row>
        <row r="2134">
          <cell r="C2134">
            <v>0</v>
          </cell>
          <cell r="D2134">
            <v>0</v>
          </cell>
          <cell r="E2134" t="str">
            <v>-</v>
          </cell>
          <cell r="F2134">
            <v>0</v>
          </cell>
          <cell r="G2134">
            <v>0</v>
          </cell>
          <cell r="H2134">
            <v>0</v>
          </cell>
          <cell r="I2134">
            <v>0</v>
          </cell>
        </row>
        <row r="2135">
          <cell r="C2135">
            <v>0</v>
          </cell>
          <cell r="D2135">
            <v>0</v>
          </cell>
          <cell r="E2135" t="str">
            <v>-</v>
          </cell>
          <cell r="F2135">
            <v>0</v>
          </cell>
          <cell r="G2135">
            <v>0</v>
          </cell>
          <cell r="H2135">
            <v>0</v>
          </cell>
          <cell r="I2135">
            <v>0</v>
          </cell>
        </row>
        <row r="2136">
          <cell r="C2136">
            <v>0</v>
          </cell>
          <cell r="D2136">
            <v>0</v>
          </cell>
          <cell r="E2136" t="str">
            <v>-</v>
          </cell>
          <cell r="F2136">
            <v>0</v>
          </cell>
          <cell r="G2136">
            <v>0</v>
          </cell>
          <cell r="H2136">
            <v>0</v>
          </cell>
          <cell r="I2136">
            <v>0</v>
          </cell>
        </row>
        <row r="2137">
          <cell r="C2137">
            <v>0</v>
          </cell>
          <cell r="D2137">
            <v>0</v>
          </cell>
          <cell r="E2137" t="str">
            <v>-</v>
          </cell>
          <cell r="F2137">
            <v>0</v>
          </cell>
          <cell r="G2137">
            <v>0</v>
          </cell>
          <cell r="H2137">
            <v>0</v>
          </cell>
          <cell r="I2137">
            <v>0</v>
          </cell>
        </row>
        <row r="2138">
          <cell r="C2138">
            <v>0</v>
          </cell>
          <cell r="D2138">
            <v>0</v>
          </cell>
          <cell r="E2138" t="str">
            <v>-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</row>
        <row r="2139">
          <cell r="C2139">
            <v>0</v>
          </cell>
          <cell r="D2139">
            <v>0</v>
          </cell>
          <cell r="E2139" t="str">
            <v>-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</row>
        <row r="2140">
          <cell r="C2140">
            <v>0</v>
          </cell>
          <cell r="D2140">
            <v>0</v>
          </cell>
          <cell r="E2140" t="str">
            <v>-</v>
          </cell>
          <cell r="F2140">
            <v>0</v>
          </cell>
          <cell r="G2140">
            <v>0</v>
          </cell>
          <cell r="H2140">
            <v>0</v>
          </cell>
          <cell r="I2140">
            <v>0</v>
          </cell>
        </row>
        <row r="2141">
          <cell r="C2141">
            <v>0</v>
          </cell>
          <cell r="D2141">
            <v>0</v>
          </cell>
          <cell r="E2141" t="str">
            <v>-</v>
          </cell>
          <cell r="F2141">
            <v>0</v>
          </cell>
          <cell r="G2141">
            <v>0</v>
          </cell>
          <cell r="H2141">
            <v>0</v>
          </cell>
          <cell r="I2141">
            <v>0</v>
          </cell>
        </row>
        <row r="2142">
          <cell r="C2142">
            <v>0</v>
          </cell>
          <cell r="D2142">
            <v>0</v>
          </cell>
          <cell r="E2142" t="str">
            <v>-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</row>
        <row r="2143">
          <cell r="C2143">
            <v>0</v>
          </cell>
          <cell r="D2143">
            <v>0</v>
          </cell>
          <cell r="E2143" t="str">
            <v>-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</row>
        <row r="2144">
          <cell r="C2144">
            <v>0</v>
          </cell>
          <cell r="D2144" t="str">
            <v>SUB TOTAL MATERIALES</v>
          </cell>
          <cell r="E2144">
            <v>0</v>
          </cell>
          <cell r="F2144">
            <v>0</v>
          </cell>
          <cell r="G2144">
            <v>0</v>
          </cell>
          <cell r="H2144">
            <v>77916.033057851237</v>
          </cell>
          <cell r="I2144">
            <v>0</v>
          </cell>
        </row>
        <row r="2145">
          <cell r="C2145">
            <v>0</v>
          </cell>
          <cell r="D2145" t="str">
            <v>B- MANO DE OBRA:</v>
          </cell>
          <cell r="E2145">
            <v>0</v>
          </cell>
          <cell r="F2145">
            <v>0</v>
          </cell>
          <cell r="G2145">
            <v>0</v>
          </cell>
          <cell r="H2145">
            <v>0</v>
          </cell>
          <cell r="I2145">
            <v>0</v>
          </cell>
        </row>
        <row r="2146">
          <cell r="C2146">
            <v>0</v>
          </cell>
          <cell r="D2146" t="str">
            <v>Oficial</v>
          </cell>
          <cell r="E2146" t="str">
            <v>hs</v>
          </cell>
          <cell r="F2146">
            <v>56.619016000000002</v>
          </cell>
          <cell r="G2146">
            <v>40</v>
          </cell>
          <cell r="H2146">
            <v>2264.76064</v>
          </cell>
          <cell r="I2146">
            <v>0</v>
          </cell>
        </row>
        <row r="2147">
          <cell r="C2147">
            <v>0</v>
          </cell>
          <cell r="D2147" t="str">
            <v>Ayudante</v>
          </cell>
          <cell r="E2147" t="str">
            <v>hs</v>
          </cell>
          <cell r="F2147">
            <v>48.396512000000008</v>
          </cell>
          <cell r="G2147">
            <v>26.5</v>
          </cell>
          <cell r="H2147">
            <v>1282.5075680000002</v>
          </cell>
          <cell r="I2147">
            <v>0</v>
          </cell>
        </row>
        <row r="2148">
          <cell r="C2148">
            <v>0</v>
          </cell>
          <cell r="D2148" t="str">
            <v>-</v>
          </cell>
          <cell r="E2148" t="str">
            <v>-</v>
          </cell>
          <cell r="F2148">
            <v>0</v>
          </cell>
          <cell r="G2148">
            <v>0</v>
          </cell>
          <cell r="H2148">
            <v>0</v>
          </cell>
          <cell r="I2148">
            <v>0</v>
          </cell>
        </row>
        <row r="2149">
          <cell r="C2149">
            <v>0</v>
          </cell>
          <cell r="D2149" t="str">
            <v>-</v>
          </cell>
          <cell r="E2149" t="str">
            <v>-</v>
          </cell>
          <cell r="F2149">
            <v>0</v>
          </cell>
          <cell r="G2149">
            <v>0</v>
          </cell>
          <cell r="H2149">
            <v>0</v>
          </cell>
          <cell r="I2149">
            <v>0</v>
          </cell>
        </row>
        <row r="2150">
          <cell r="C2150">
            <v>0</v>
          </cell>
          <cell r="D2150" t="str">
            <v>-</v>
          </cell>
          <cell r="E2150" t="str">
            <v>-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</row>
        <row r="2151">
          <cell r="C2151">
            <v>0</v>
          </cell>
          <cell r="D2151" t="str">
            <v>SUB TOTAL MANO DE OBRA</v>
          </cell>
          <cell r="E2151">
            <v>0</v>
          </cell>
          <cell r="F2151">
            <v>0</v>
          </cell>
          <cell r="G2151">
            <v>0</v>
          </cell>
          <cell r="H2151">
            <v>3547.2682080000004</v>
          </cell>
          <cell r="I2151">
            <v>0</v>
          </cell>
        </row>
        <row r="2152">
          <cell r="C2152">
            <v>0</v>
          </cell>
          <cell r="D2152" t="str">
            <v>C- EQUIPOS:</v>
          </cell>
          <cell r="E2152">
            <v>0</v>
          </cell>
          <cell r="F2152">
            <v>0</v>
          </cell>
          <cell r="G2152">
            <v>0</v>
          </cell>
          <cell r="H2152">
            <v>0</v>
          </cell>
          <cell r="I2152">
            <v>0</v>
          </cell>
        </row>
        <row r="2153">
          <cell r="C2153">
            <v>0</v>
          </cell>
          <cell r="D2153" t="str">
            <v>Herramientas de Mano</v>
          </cell>
          <cell r="E2153" t="str">
            <v>gl</v>
          </cell>
          <cell r="F2153">
            <v>2443.8990379755369</v>
          </cell>
          <cell r="G2153">
            <v>1</v>
          </cell>
          <cell r="H2153">
            <v>2443.8990379755369</v>
          </cell>
          <cell r="I2153">
            <v>0</v>
          </cell>
        </row>
        <row r="2154">
          <cell r="C2154">
            <v>0</v>
          </cell>
          <cell r="D2154" t="str">
            <v>-</v>
          </cell>
          <cell r="E2154" t="str">
            <v>-</v>
          </cell>
          <cell r="F2154">
            <v>0</v>
          </cell>
          <cell r="G2154">
            <v>0</v>
          </cell>
          <cell r="H2154">
            <v>0</v>
          </cell>
          <cell r="I2154">
            <v>0</v>
          </cell>
        </row>
        <row r="2155">
          <cell r="C2155">
            <v>0</v>
          </cell>
          <cell r="D2155" t="str">
            <v>-</v>
          </cell>
          <cell r="E2155" t="str">
            <v>-</v>
          </cell>
          <cell r="F2155">
            <v>0</v>
          </cell>
          <cell r="G2155">
            <v>0</v>
          </cell>
          <cell r="H2155">
            <v>0</v>
          </cell>
          <cell r="I2155">
            <v>0</v>
          </cell>
        </row>
        <row r="2156">
          <cell r="C2156">
            <v>0</v>
          </cell>
          <cell r="D2156" t="str">
            <v>-</v>
          </cell>
          <cell r="E2156" t="str">
            <v>-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</row>
        <row r="2157">
          <cell r="C2157">
            <v>0</v>
          </cell>
          <cell r="D2157" t="str">
            <v>-</v>
          </cell>
          <cell r="E2157" t="str">
            <v>-</v>
          </cell>
          <cell r="F2157">
            <v>0</v>
          </cell>
          <cell r="G2157">
            <v>0</v>
          </cell>
          <cell r="H2157">
            <v>0</v>
          </cell>
          <cell r="I2157">
            <v>0</v>
          </cell>
        </row>
        <row r="2158">
          <cell r="C2158">
            <v>0</v>
          </cell>
          <cell r="D2158" t="str">
            <v>SUB TOTAL EQUIPOS</v>
          </cell>
          <cell r="E2158">
            <v>0</v>
          </cell>
          <cell r="F2158">
            <v>0</v>
          </cell>
          <cell r="G2158">
            <v>0</v>
          </cell>
          <cell r="H2158">
            <v>2443.8990379755369</v>
          </cell>
          <cell r="I2158">
            <v>0</v>
          </cell>
        </row>
        <row r="2159">
          <cell r="C2159">
            <v>0</v>
          </cell>
          <cell r="D2159">
            <v>0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</row>
        <row r="2160">
          <cell r="B2160">
            <v>40</v>
          </cell>
          <cell r="C2160">
            <v>0</v>
          </cell>
          <cell r="D2160" t="str">
            <v>COSTO-COSTO</v>
          </cell>
          <cell r="E2160">
            <v>0</v>
          </cell>
          <cell r="F2160">
            <v>0</v>
          </cell>
          <cell r="G2160">
            <v>0</v>
          </cell>
          <cell r="H2160">
            <v>83907.200303826772</v>
          </cell>
          <cell r="I2160">
            <v>0</v>
          </cell>
        </row>
        <row r="2161">
          <cell r="C2161">
            <v>0</v>
          </cell>
          <cell r="D2161" t="str">
            <v>GASTO FINANCIERO</v>
          </cell>
          <cell r="E2161">
            <v>0</v>
          </cell>
          <cell r="F2161">
            <v>0</v>
          </cell>
          <cell r="G2161">
            <v>0.02</v>
          </cell>
          <cell r="H2161">
            <v>1678.1440060765356</v>
          </cell>
          <cell r="I2161">
            <v>0</v>
          </cell>
        </row>
        <row r="2162">
          <cell r="C2162">
            <v>0</v>
          </cell>
          <cell r="D2162" t="str">
            <v>SUB TOTAL</v>
          </cell>
          <cell r="E2162">
            <v>0</v>
          </cell>
          <cell r="F2162">
            <v>0</v>
          </cell>
          <cell r="G2162">
            <v>0</v>
          </cell>
          <cell r="H2162">
            <v>85585.344309903303</v>
          </cell>
          <cell r="I2162">
            <v>0</v>
          </cell>
        </row>
        <row r="2163">
          <cell r="C2163">
            <v>0</v>
          </cell>
          <cell r="D2163" t="str">
            <v>GASTOS GENERALES</v>
          </cell>
          <cell r="E2163">
            <v>0</v>
          </cell>
          <cell r="F2163">
            <v>0</v>
          </cell>
          <cell r="G2163">
            <v>0.35116211482007981</v>
          </cell>
          <cell r="H2163">
            <v>30054.330505470327</v>
          </cell>
          <cell r="I2163">
            <v>0</v>
          </cell>
        </row>
        <row r="2164">
          <cell r="C2164">
            <v>0</v>
          </cell>
          <cell r="D2164" t="str">
            <v>BENEFICIO</v>
          </cell>
          <cell r="E2164">
            <v>0</v>
          </cell>
          <cell r="F2164">
            <v>0</v>
          </cell>
          <cell r="G2164">
            <v>0.1</v>
          </cell>
          <cell r="H2164">
            <v>8558.5344309903303</v>
          </cell>
          <cell r="I2164">
            <v>0</v>
          </cell>
        </row>
        <row r="2165">
          <cell r="C2165">
            <v>0</v>
          </cell>
          <cell r="D2165" t="str">
            <v>COSTO TOTAL UNITARIO</v>
          </cell>
          <cell r="E2165">
            <v>0</v>
          </cell>
          <cell r="F2165">
            <v>0</v>
          </cell>
          <cell r="G2165">
            <v>0</v>
          </cell>
          <cell r="H2165">
            <v>124198.20924636396</v>
          </cell>
          <cell r="I2165">
            <v>0</v>
          </cell>
        </row>
        <row r="2166">
          <cell r="C2166">
            <v>0</v>
          </cell>
          <cell r="D2166" t="str">
            <v>IMPUETOS</v>
          </cell>
          <cell r="E2166">
            <v>0</v>
          </cell>
          <cell r="F2166" t="str">
            <v>IIBB</v>
          </cell>
          <cell r="G2166">
            <v>2.4E-2</v>
          </cell>
          <cell r="H2166">
            <v>2980.7570219127351</v>
          </cell>
          <cell r="I2166">
            <v>0</v>
          </cell>
        </row>
        <row r="2167">
          <cell r="C2167">
            <v>0</v>
          </cell>
          <cell r="D2167">
            <v>0</v>
          </cell>
          <cell r="E2167">
            <v>0</v>
          </cell>
          <cell r="F2167" t="str">
            <v>IVA</v>
          </cell>
          <cell r="G2167">
            <v>0.21</v>
          </cell>
          <cell r="H2167">
            <v>26081.62394173643</v>
          </cell>
          <cell r="I2167">
            <v>0</v>
          </cell>
        </row>
        <row r="2168">
          <cell r="C2168">
            <v>0</v>
          </cell>
          <cell r="D2168">
            <v>0</v>
          </cell>
          <cell r="E2168">
            <v>0</v>
          </cell>
          <cell r="F2168">
            <v>0</v>
          </cell>
          <cell r="G2168">
            <v>0</v>
          </cell>
          <cell r="H2168">
            <v>0</v>
          </cell>
          <cell r="I2168">
            <v>0</v>
          </cell>
        </row>
        <row r="2169">
          <cell r="C2169">
            <v>0</v>
          </cell>
          <cell r="D2169" t="str">
            <v>PRECIO TOTAL UNITARIO</v>
          </cell>
          <cell r="E2169">
            <v>0</v>
          </cell>
          <cell r="F2169">
            <v>0</v>
          </cell>
          <cell r="G2169">
            <v>0</v>
          </cell>
          <cell r="H2169">
            <v>153260.59021001312</v>
          </cell>
          <cell r="I2169">
            <v>0</v>
          </cell>
        </row>
        <row r="2170">
          <cell r="C2170">
            <v>0</v>
          </cell>
          <cell r="D2170">
            <v>0</v>
          </cell>
          <cell r="E2170">
            <v>0</v>
          </cell>
          <cell r="F2170">
            <v>0</v>
          </cell>
          <cell r="G2170">
            <v>0</v>
          </cell>
          <cell r="H2170">
            <v>0</v>
          </cell>
          <cell r="I2170">
            <v>0</v>
          </cell>
        </row>
        <row r="2171">
          <cell r="C2171">
            <v>0</v>
          </cell>
          <cell r="D2171">
            <v>0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</row>
        <row r="2172">
          <cell r="C2172">
            <v>0</v>
          </cell>
          <cell r="D2172" t="str">
            <v>Rubro:</v>
          </cell>
          <cell r="E2172">
            <v>11</v>
          </cell>
          <cell r="F2172" t="str">
            <v>Carpintería</v>
          </cell>
          <cell r="G2172" t="e">
            <v>#NAME?</v>
          </cell>
          <cell r="H2172" t="e">
            <v>#NAME?</v>
          </cell>
          <cell r="I2172">
            <v>0</v>
          </cell>
        </row>
        <row r="2173">
          <cell r="C2173">
            <v>0</v>
          </cell>
          <cell r="D2173" t="str">
            <v>Sub Rubro:</v>
          </cell>
          <cell r="E2173">
            <v>11.2</v>
          </cell>
          <cell r="F2173" t="str">
            <v>Metálica</v>
          </cell>
          <cell r="G2173" t="e">
            <v>#NAME?</v>
          </cell>
          <cell r="H2173" t="e">
            <v>#NAME?</v>
          </cell>
          <cell r="I2173">
            <v>0</v>
          </cell>
        </row>
        <row r="2174">
          <cell r="C2174">
            <v>0</v>
          </cell>
          <cell r="D2174" t="str">
            <v>Ítem:</v>
          </cell>
          <cell r="E2174">
            <v>11.2</v>
          </cell>
          <cell r="F2174" t="str">
            <v>Metálica</v>
          </cell>
          <cell r="G2174" t="e">
            <v>#NAME?</v>
          </cell>
          <cell r="H2174" t="e">
            <v>#NAME?</v>
          </cell>
          <cell r="I2174">
            <v>0</v>
          </cell>
        </row>
        <row r="2175">
          <cell r="C2175">
            <v>0</v>
          </cell>
          <cell r="D2175" t="str">
            <v>Unida:</v>
          </cell>
          <cell r="E2175" t="str">
            <v>gl</v>
          </cell>
          <cell r="F2175">
            <v>0</v>
          </cell>
          <cell r="G2175">
            <v>0</v>
          </cell>
          <cell r="H2175">
            <v>0</v>
          </cell>
          <cell r="I2175">
            <v>0</v>
          </cell>
        </row>
        <row r="2176">
          <cell r="C2176">
            <v>0</v>
          </cell>
          <cell r="D2176" t="str">
            <v>DENOMINACION</v>
          </cell>
          <cell r="E2176" t="str">
            <v>UNIDAD</v>
          </cell>
          <cell r="F2176" t="str">
            <v>COSTO UNITARIO</v>
          </cell>
          <cell r="G2176" t="str">
            <v>RENDIMIENTO POR UNIDAD</v>
          </cell>
          <cell r="H2176" t="str">
            <v>COSTO PARCIAL</v>
          </cell>
          <cell r="I2176">
            <v>0</v>
          </cell>
        </row>
        <row r="2177">
          <cell r="C2177">
            <v>0</v>
          </cell>
          <cell r="D2177" t="str">
            <v>A- MATERIALES:</v>
          </cell>
          <cell r="E2177">
            <v>0</v>
          </cell>
          <cell r="F2177">
            <v>0</v>
          </cell>
          <cell r="G2177">
            <v>0</v>
          </cell>
          <cell r="H2177">
            <v>0</v>
          </cell>
          <cell r="I2177">
            <v>0</v>
          </cell>
        </row>
        <row r="2178">
          <cell r="C2178">
            <v>0</v>
          </cell>
          <cell r="D2178" t="str">
            <v>Pm</v>
          </cell>
          <cell r="E2178" t="str">
            <v>un</v>
          </cell>
          <cell r="F2178">
            <v>2000</v>
          </cell>
          <cell r="G2178">
            <v>1</v>
          </cell>
          <cell r="H2178">
            <v>2000</v>
          </cell>
          <cell r="I2178">
            <v>0</v>
          </cell>
        </row>
        <row r="2179">
          <cell r="C2179">
            <v>0</v>
          </cell>
          <cell r="D2179">
            <v>0</v>
          </cell>
          <cell r="E2179" t="str">
            <v>-</v>
          </cell>
          <cell r="F2179">
            <v>0</v>
          </cell>
          <cell r="G2179">
            <v>0</v>
          </cell>
          <cell r="H2179">
            <v>0</v>
          </cell>
          <cell r="I2179">
            <v>0</v>
          </cell>
        </row>
        <row r="2180">
          <cell r="C2180">
            <v>0</v>
          </cell>
          <cell r="D2180">
            <v>0</v>
          </cell>
          <cell r="E2180" t="str">
            <v>-</v>
          </cell>
          <cell r="F2180">
            <v>0</v>
          </cell>
          <cell r="G2180">
            <v>0</v>
          </cell>
          <cell r="H2180">
            <v>0</v>
          </cell>
          <cell r="I2180">
            <v>0</v>
          </cell>
        </row>
        <row r="2181">
          <cell r="C2181">
            <v>0</v>
          </cell>
          <cell r="D2181">
            <v>0</v>
          </cell>
          <cell r="E2181" t="str">
            <v>-</v>
          </cell>
          <cell r="F2181">
            <v>0</v>
          </cell>
          <cell r="G2181">
            <v>0</v>
          </cell>
          <cell r="H2181">
            <v>0</v>
          </cell>
          <cell r="I2181">
            <v>0</v>
          </cell>
        </row>
        <row r="2182">
          <cell r="C2182">
            <v>0</v>
          </cell>
          <cell r="D2182">
            <v>0</v>
          </cell>
          <cell r="E2182" t="str">
            <v>-</v>
          </cell>
          <cell r="F2182">
            <v>0</v>
          </cell>
          <cell r="G2182">
            <v>0</v>
          </cell>
          <cell r="H2182">
            <v>0</v>
          </cell>
          <cell r="I2182">
            <v>0</v>
          </cell>
        </row>
        <row r="2183">
          <cell r="C2183">
            <v>0</v>
          </cell>
          <cell r="D2183">
            <v>0</v>
          </cell>
          <cell r="E2183" t="str">
            <v>-</v>
          </cell>
          <cell r="F2183">
            <v>0</v>
          </cell>
          <cell r="G2183">
            <v>0</v>
          </cell>
          <cell r="H2183">
            <v>0</v>
          </cell>
          <cell r="I2183">
            <v>0</v>
          </cell>
        </row>
        <row r="2184">
          <cell r="C2184">
            <v>0</v>
          </cell>
          <cell r="D2184">
            <v>0</v>
          </cell>
          <cell r="E2184" t="str">
            <v>-</v>
          </cell>
          <cell r="F2184">
            <v>0</v>
          </cell>
          <cell r="G2184">
            <v>0</v>
          </cell>
          <cell r="H2184">
            <v>0</v>
          </cell>
          <cell r="I2184">
            <v>0</v>
          </cell>
        </row>
        <row r="2185">
          <cell r="C2185">
            <v>0</v>
          </cell>
          <cell r="D2185">
            <v>0</v>
          </cell>
          <cell r="E2185" t="str">
            <v>-</v>
          </cell>
          <cell r="F2185">
            <v>0</v>
          </cell>
          <cell r="G2185">
            <v>0</v>
          </cell>
          <cell r="H2185">
            <v>0</v>
          </cell>
          <cell r="I2185">
            <v>0</v>
          </cell>
        </row>
        <row r="2186">
          <cell r="C2186">
            <v>0</v>
          </cell>
          <cell r="D2186">
            <v>0</v>
          </cell>
          <cell r="E2186" t="str">
            <v>-</v>
          </cell>
          <cell r="F2186">
            <v>0</v>
          </cell>
          <cell r="G2186">
            <v>0</v>
          </cell>
          <cell r="H2186">
            <v>0</v>
          </cell>
          <cell r="I2186">
            <v>0</v>
          </cell>
        </row>
        <row r="2187">
          <cell r="C2187">
            <v>0</v>
          </cell>
          <cell r="D2187">
            <v>0</v>
          </cell>
          <cell r="E2187" t="str">
            <v>-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</row>
        <row r="2188">
          <cell r="C2188">
            <v>0</v>
          </cell>
          <cell r="D2188">
            <v>0</v>
          </cell>
          <cell r="E2188" t="str">
            <v>-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</row>
        <row r="2189">
          <cell r="C2189">
            <v>0</v>
          </cell>
          <cell r="D2189">
            <v>0</v>
          </cell>
          <cell r="E2189" t="str">
            <v>-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</row>
        <row r="2190">
          <cell r="C2190">
            <v>0</v>
          </cell>
          <cell r="D2190">
            <v>0</v>
          </cell>
          <cell r="E2190" t="str">
            <v>-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</row>
        <row r="2191">
          <cell r="C2191">
            <v>0</v>
          </cell>
          <cell r="D2191">
            <v>0</v>
          </cell>
          <cell r="E2191" t="str">
            <v>-</v>
          </cell>
          <cell r="F2191">
            <v>0</v>
          </cell>
          <cell r="G2191">
            <v>0</v>
          </cell>
          <cell r="H2191">
            <v>0</v>
          </cell>
          <cell r="I2191">
            <v>0</v>
          </cell>
        </row>
        <row r="2192">
          <cell r="C2192">
            <v>0</v>
          </cell>
          <cell r="D2192">
            <v>0</v>
          </cell>
          <cell r="E2192" t="str">
            <v>-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</row>
        <row r="2193">
          <cell r="C2193">
            <v>0</v>
          </cell>
          <cell r="D2193">
            <v>0</v>
          </cell>
          <cell r="E2193" t="str">
            <v>-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</row>
        <row r="2194">
          <cell r="C2194">
            <v>0</v>
          </cell>
          <cell r="D2194">
            <v>0</v>
          </cell>
          <cell r="E2194" t="str">
            <v>-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</row>
        <row r="2195">
          <cell r="C2195">
            <v>0</v>
          </cell>
          <cell r="D2195">
            <v>0</v>
          </cell>
          <cell r="E2195" t="str">
            <v>-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</row>
        <row r="2196">
          <cell r="C2196">
            <v>0</v>
          </cell>
          <cell r="D2196">
            <v>0</v>
          </cell>
          <cell r="E2196" t="str">
            <v>-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</row>
        <row r="2197">
          <cell r="C2197">
            <v>0</v>
          </cell>
          <cell r="D2197">
            <v>0</v>
          </cell>
          <cell r="E2197" t="str">
            <v>-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</row>
        <row r="2198">
          <cell r="C2198">
            <v>0</v>
          </cell>
          <cell r="D2198" t="str">
            <v>SUB TOTAL MATERIALES</v>
          </cell>
          <cell r="E2198">
            <v>0</v>
          </cell>
          <cell r="F2198">
            <v>0</v>
          </cell>
          <cell r="G2198">
            <v>0</v>
          </cell>
          <cell r="H2198">
            <v>2000</v>
          </cell>
          <cell r="I2198">
            <v>0</v>
          </cell>
        </row>
        <row r="2199">
          <cell r="C2199">
            <v>0</v>
          </cell>
          <cell r="D2199" t="str">
            <v>B- MANO DE OBRA:</v>
          </cell>
          <cell r="E2199">
            <v>0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</row>
        <row r="2200">
          <cell r="C2200">
            <v>0</v>
          </cell>
          <cell r="D2200" t="str">
            <v>Oficial</v>
          </cell>
          <cell r="E2200" t="str">
            <v>hs</v>
          </cell>
          <cell r="F2200">
            <v>56.619016000000002</v>
          </cell>
          <cell r="G2200">
            <v>8</v>
          </cell>
          <cell r="H2200">
            <v>452.95212800000002</v>
          </cell>
          <cell r="I2200">
            <v>0</v>
          </cell>
        </row>
        <row r="2201">
          <cell r="C2201">
            <v>0</v>
          </cell>
          <cell r="D2201" t="str">
            <v>Ayudante</v>
          </cell>
          <cell r="E2201" t="str">
            <v>hs</v>
          </cell>
          <cell r="F2201">
            <v>48.396512000000008</v>
          </cell>
          <cell r="G2201">
            <v>1.7986393730192776</v>
          </cell>
          <cell r="H2201">
            <v>87.047871999999956</v>
          </cell>
          <cell r="I2201">
            <v>0</v>
          </cell>
        </row>
        <row r="2202">
          <cell r="C2202">
            <v>0</v>
          </cell>
          <cell r="D2202" t="str">
            <v>-</v>
          </cell>
          <cell r="E2202" t="str">
            <v>-</v>
          </cell>
          <cell r="F2202">
            <v>0</v>
          </cell>
          <cell r="G2202">
            <v>0</v>
          </cell>
          <cell r="H2202">
            <v>0</v>
          </cell>
          <cell r="I2202">
            <v>0</v>
          </cell>
        </row>
        <row r="2203">
          <cell r="C2203">
            <v>0</v>
          </cell>
          <cell r="D2203" t="str">
            <v>-</v>
          </cell>
          <cell r="E2203" t="str">
            <v>-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</row>
        <row r="2204">
          <cell r="C2204">
            <v>0</v>
          </cell>
          <cell r="D2204" t="str">
            <v>-</v>
          </cell>
          <cell r="E2204" t="str">
            <v>-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</row>
        <row r="2205">
          <cell r="C2205">
            <v>0</v>
          </cell>
          <cell r="D2205" t="str">
            <v>SUB TOTAL MANO DE OBRA</v>
          </cell>
          <cell r="E2205">
            <v>0</v>
          </cell>
          <cell r="F2205">
            <v>0</v>
          </cell>
          <cell r="G2205">
            <v>0</v>
          </cell>
          <cell r="H2205">
            <v>540</v>
          </cell>
          <cell r="I2205">
            <v>0</v>
          </cell>
        </row>
        <row r="2206">
          <cell r="C2206">
            <v>0</v>
          </cell>
          <cell r="D2206" t="str">
            <v>C- EQUIPOS:</v>
          </cell>
          <cell r="E2206">
            <v>0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</row>
        <row r="2207">
          <cell r="C2207">
            <v>0</v>
          </cell>
          <cell r="D2207" t="str">
            <v>Herramientas de Mano</v>
          </cell>
          <cell r="E2207" t="str">
            <v>gl</v>
          </cell>
          <cell r="F2207">
            <v>76.2</v>
          </cell>
          <cell r="G2207">
            <v>1</v>
          </cell>
          <cell r="H2207">
            <v>76.2</v>
          </cell>
          <cell r="I2207">
            <v>0</v>
          </cell>
        </row>
        <row r="2208">
          <cell r="C2208">
            <v>0</v>
          </cell>
          <cell r="D2208" t="str">
            <v>-</v>
          </cell>
          <cell r="E2208" t="str">
            <v>-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</row>
        <row r="2209">
          <cell r="C2209">
            <v>0</v>
          </cell>
          <cell r="D2209" t="str">
            <v>-</v>
          </cell>
          <cell r="E2209" t="str">
            <v>-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</row>
        <row r="2210">
          <cell r="C2210">
            <v>0</v>
          </cell>
          <cell r="D2210" t="str">
            <v>-</v>
          </cell>
          <cell r="E2210" t="str">
            <v>-</v>
          </cell>
          <cell r="F2210">
            <v>0</v>
          </cell>
          <cell r="G2210">
            <v>0</v>
          </cell>
          <cell r="H2210">
            <v>0</v>
          </cell>
          <cell r="I2210">
            <v>0</v>
          </cell>
        </row>
        <row r="2211">
          <cell r="C2211">
            <v>0</v>
          </cell>
          <cell r="D2211" t="str">
            <v>-</v>
          </cell>
          <cell r="E2211" t="str">
            <v>-</v>
          </cell>
          <cell r="F2211">
            <v>0</v>
          </cell>
          <cell r="G2211">
            <v>0</v>
          </cell>
          <cell r="H2211">
            <v>0</v>
          </cell>
          <cell r="I2211">
            <v>0</v>
          </cell>
        </row>
        <row r="2212">
          <cell r="C2212">
            <v>0</v>
          </cell>
          <cell r="D2212" t="str">
            <v>SUB TOTAL EQUIPOS</v>
          </cell>
          <cell r="E2212">
            <v>0</v>
          </cell>
          <cell r="F2212">
            <v>0</v>
          </cell>
          <cell r="G2212">
            <v>0</v>
          </cell>
          <cell r="H2212">
            <v>76.2</v>
          </cell>
          <cell r="I2212">
            <v>0</v>
          </cell>
        </row>
        <row r="2213">
          <cell r="C2213">
            <v>0</v>
          </cell>
          <cell r="D2213">
            <v>0</v>
          </cell>
          <cell r="E2213">
            <v>0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</row>
        <row r="2214">
          <cell r="B2214">
            <v>41</v>
          </cell>
          <cell r="C2214">
            <v>0</v>
          </cell>
          <cell r="D2214" t="str">
            <v>COSTO-COSTO</v>
          </cell>
          <cell r="E2214">
            <v>0</v>
          </cell>
          <cell r="F2214">
            <v>0</v>
          </cell>
          <cell r="G2214">
            <v>0</v>
          </cell>
          <cell r="H2214">
            <v>2616.1999999999998</v>
          </cell>
          <cell r="I2214">
            <v>0</v>
          </cell>
        </row>
        <row r="2215">
          <cell r="C2215">
            <v>0</v>
          </cell>
          <cell r="D2215" t="str">
            <v>GASTO FINANCIERO</v>
          </cell>
          <cell r="E2215">
            <v>0</v>
          </cell>
          <cell r="F2215">
            <v>0</v>
          </cell>
          <cell r="G2215">
            <v>0.02</v>
          </cell>
          <cell r="H2215">
            <v>52.323999999999998</v>
          </cell>
          <cell r="I2215">
            <v>0</v>
          </cell>
        </row>
        <row r="2216">
          <cell r="C2216">
            <v>0</v>
          </cell>
          <cell r="D2216" t="str">
            <v>SUB TOTAL</v>
          </cell>
          <cell r="E2216">
            <v>0</v>
          </cell>
          <cell r="F2216">
            <v>0</v>
          </cell>
          <cell r="G2216">
            <v>0</v>
          </cell>
          <cell r="H2216">
            <v>2668.5239999999999</v>
          </cell>
          <cell r="I2216">
            <v>0</v>
          </cell>
        </row>
        <row r="2217">
          <cell r="C2217">
            <v>0</v>
          </cell>
          <cell r="D2217" t="str">
            <v>GASTOS GENERALES</v>
          </cell>
          <cell r="E2217">
            <v>0</v>
          </cell>
          <cell r="F2217">
            <v>0</v>
          </cell>
          <cell r="G2217">
            <v>0.35116211482007981</v>
          </cell>
          <cell r="H2217">
            <v>937.08453128813858</v>
          </cell>
          <cell r="I2217">
            <v>0</v>
          </cell>
        </row>
        <row r="2218">
          <cell r="C2218">
            <v>0</v>
          </cell>
          <cell r="D2218" t="str">
            <v>BENEFICIO</v>
          </cell>
          <cell r="E2218">
            <v>0</v>
          </cell>
          <cell r="F2218">
            <v>0</v>
          </cell>
          <cell r="G2218">
            <v>0.1</v>
          </cell>
          <cell r="H2218">
            <v>266.85239999999999</v>
          </cell>
          <cell r="I2218">
            <v>0</v>
          </cell>
        </row>
        <row r="2219">
          <cell r="C2219">
            <v>0</v>
          </cell>
          <cell r="D2219" t="str">
            <v>COSTO TOTAL UNITARIO</v>
          </cell>
          <cell r="E2219">
            <v>0</v>
          </cell>
          <cell r="F2219">
            <v>0</v>
          </cell>
          <cell r="G2219">
            <v>0</v>
          </cell>
          <cell r="H2219">
            <v>3872.4609312881385</v>
          </cell>
          <cell r="I2219">
            <v>0</v>
          </cell>
        </row>
        <row r="2220">
          <cell r="C2220">
            <v>0</v>
          </cell>
          <cell r="D2220" t="str">
            <v>IMPUETOS</v>
          </cell>
          <cell r="E2220">
            <v>0</v>
          </cell>
          <cell r="F2220" t="str">
            <v>IIBB</v>
          </cell>
          <cell r="G2220">
            <v>2.4E-2</v>
          </cell>
          <cell r="H2220">
            <v>92.939062350915322</v>
          </cell>
          <cell r="I2220">
            <v>0</v>
          </cell>
        </row>
        <row r="2221">
          <cell r="C2221">
            <v>0</v>
          </cell>
          <cell r="D2221">
            <v>0</v>
          </cell>
          <cell r="E2221">
            <v>0</v>
          </cell>
          <cell r="F2221" t="str">
            <v>IVA</v>
          </cell>
          <cell r="G2221">
            <v>0.21</v>
          </cell>
          <cell r="H2221">
            <v>813.21679557050902</v>
          </cell>
          <cell r="I2221">
            <v>0</v>
          </cell>
        </row>
        <row r="2222">
          <cell r="C2222">
            <v>0</v>
          </cell>
          <cell r="D2222">
            <v>0</v>
          </cell>
          <cell r="E2222">
            <v>0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</row>
        <row r="2223">
          <cell r="C2223">
            <v>0</v>
          </cell>
          <cell r="D2223" t="str">
            <v>PRECIO TOTAL UNITARIO</v>
          </cell>
          <cell r="E2223">
            <v>0</v>
          </cell>
          <cell r="F2223">
            <v>0</v>
          </cell>
          <cell r="G2223">
            <v>0</v>
          </cell>
          <cell r="H2223">
            <v>4778.6167892095627</v>
          </cell>
          <cell r="I2223">
            <v>0</v>
          </cell>
        </row>
        <row r="2224">
          <cell r="C2224">
            <v>0</v>
          </cell>
          <cell r="D2224">
            <v>0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</row>
        <row r="2225">
          <cell r="C2225">
            <v>0</v>
          </cell>
          <cell r="D2225">
            <v>0</v>
          </cell>
          <cell r="E2225">
            <v>0</v>
          </cell>
          <cell r="F2225">
            <v>0</v>
          </cell>
          <cell r="G2225">
            <v>0</v>
          </cell>
          <cell r="H2225">
            <v>0</v>
          </cell>
          <cell r="I2225">
            <v>0</v>
          </cell>
        </row>
        <row r="2226">
          <cell r="C2226">
            <v>0</v>
          </cell>
          <cell r="D2226" t="str">
            <v>Rubro:</v>
          </cell>
          <cell r="E2226">
            <v>12</v>
          </cell>
          <cell r="F2226" t="str">
            <v>Mobiliario</v>
          </cell>
          <cell r="G2226" t="e">
            <v>#NAME?</v>
          </cell>
          <cell r="H2226" t="e">
            <v>#NAME?</v>
          </cell>
          <cell r="I2226">
            <v>0</v>
          </cell>
        </row>
        <row r="2227">
          <cell r="C2227">
            <v>0</v>
          </cell>
          <cell r="D2227" t="str">
            <v>Sub Rubro:</v>
          </cell>
          <cell r="E2227">
            <v>12.1</v>
          </cell>
          <cell r="F2227" t="str">
            <v>Muebles Cocina</v>
          </cell>
          <cell r="G2227" t="e">
            <v>#NAME?</v>
          </cell>
          <cell r="H2227" t="e">
            <v>#NAME?</v>
          </cell>
          <cell r="I2227">
            <v>0</v>
          </cell>
        </row>
        <row r="2228">
          <cell r="C2228">
            <v>0</v>
          </cell>
          <cell r="D2228" t="str">
            <v>Ítem:</v>
          </cell>
          <cell r="E2228">
            <v>12.1</v>
          </cell>
          <cell r="F2228" t="str">
            <v>Muebles Cocina</v>
          </cell>
          <cell r="G2228" t="e">
            <v>#NAME?</v>
          </cell>
          <cell r="H2228" t="e">
            <v>#NAME?</v>
          </cell>
          <cell r="I2228">
            <v>0</v>
          </cell>
        </row>
        <row r="2229">
          <cell r="C2229">
            <v>0</v>
          </cell>
          <cell r="D2229" t="str">
            <v>Unida:</v>
          </cell>
          <cell r="E2229" t="str">
            <v>gl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</row>
        <row r="2230">
          <cell r="C2230">
            <v>0</v>
          </cell>
          <cell r="D2230" t="str">
            <v>DENOMINACION</v>
          </cell>
          <cell r="E2230" t="str">
            <v>UNIDAD</v>
          </cell>
          <cell r="F2230" t="str">
            <v>COSTO UNITARIO</v>
          </cell>
          <cell r="G2230" t="str">
            <v>RENDIMIENTO POR UNIDAD</v>
          </cell>
          <cell r="H2230" t="str">
            <v>COSTO PARCIAL</v>
          </cell>
          <cell r="I2230">
            <v>0</v>
          </cell>
        </row>
        <row r="2231">
          <cell r="C2231">
            <v>0</v>
          </cell>
          <cell r="D2231" t="str">
            <v>A- MATERIALES:</v>
          </cell>
          <cell r="E2231">
            <v>0</v>
          </cell>
          <cell r="F2231">
            <v>0</v>
          </cell>
          <cell r="G2231">
            <v>0</v>
          </cell>
          <cell r="H2231">
            <v>0</v>
          </cell>
          <cell r="I2231">
            <v>0</v>
          </cell>
        </row>
        <row r="2232">
          <cell r="C2232">
            <v>0</v>
          </cell>
          <cell r="D2232" t="str">
            <v>Mueble de Cocina</v>
          </cell>
          <cell r="E2232" t="str">
            <v>un</v>
          </cell>
          <cell r="F2232">
            <v>3000</v>
          </cell>
          <cell r="G2232">
            <v>1.5</v>
          </cell>
          <cell r="H2232">
            <v>4500</v>
          </cell>
          <cell r="I2232">
            <v>0</v>
          </cell>
        </row>
        <row r="2233">
          <cell r="C2233">
            <v>0</v>
          </cell>
          <cell r="D2233" t="str">
            <v>Mesada</v>
          </cell>
          <cell r="E2233" t="str">
            <v>un</v>
          </cell>
          <cell r="F2233">
            <v>5875</v>
          </cell>
          <cell r="G2233">
            <v>1</v>
          </cell>
          <cell r="H2233">
            <v>5875</v>
          </cell>
          <cell r="I2233">
            <v>0</v>
          </cell>
        </row>
        <row r="2234">
          <cell r="C2234">
            <v>0</v>
          </cell>
          <cell r="D2234" t="str">
            <v>Accesorios</v>
          </cell>
          <cell r="E2234" t="str">
            <v>gl</v>
          </cell>
          <cell r="F2234">
            <v>500</v>
          </cell>
          <cell r="G2234">
            <v>2</v>
          </cell>
          <cell r="H2234">
            <v>1000</v>
          </cell>
          <cell r="I2234">
            <v>0</v>
          </cell>
        </row>
        <row r="2235">
          <cell r="C2235">
            <v>0</v>
          </cell>
          <cell r="D2235" t="str">
            <v>Calefon Orbis 14 lts.</v>
          </cell>
          <cell r="E2235" t="str">
            <v>un</v>
          </cell>
          <cell r="F2235">
            <v>4000</v>
          </cell>
          <cell r="G2235">
            <v>1</v>
          </cell>
          <cell r="H2235">
            <v>4000</v>
          </cell>
          <cell r="I2235">
            <v>0</v>
          </cell>
        </row>
        <row r="2236">
          <cell r="C2236">
            <v>0</v>
          </cell>
          <cell r="D2236" t="str">
            <v>Campana</v>
          </cell>
          <cell r="E2236" t="str">
            <v>un</v>
          </cell>
          <cell r="F2236">
            <v>1000</v>
          </cell>
          <cell r="G2236">
            <v>1</v>
          </cell>
          <cell r="H2236">
            <v>1000</v>
          </cell>
          <cell r="I2236">
            <v>0</v>
          </cell>
        </row>
        <row r="2237">
          <cell r="C2237">
            <v>0</v>
          </cell>
          <cell r="D2237">
            <v>0</v>
          </cell>
          <cell r="E2237" t="str">
            <v>-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</row>
        <row r="2238">
          <cell r="C2238">
            <v>0</v>
          </cell>
          <cell r="D2238">
            <v>0</v>
          </cell>
          <cell r="E2238" t="str">
            <v>-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</row>
        <row r="2239">
          <cell r="C2239">
            <v>0</v>
          </cell>
          <cell r="D2239">
            <v>0</v>
          </cell>
          <cell r="E2239" t="str">
            <v>-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</row>
        <row r="2240">
          <cell r="C2240">
            <v>0</v>
          </cell>
          <cell r="D2240">
            <v>0</v>
          </cell>
          <cell r="E2240" t="str">
            <v>-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</row>
        <row r="2241">
          <cell r="C2241">
            <v>0</v>
          </cell>
          <cell r="D2241">
            <v>0</v>
          </cell>
          <cell r="E2241" t="str">
            <v>-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</row>
        <row r="2242">
          <cell r="C2242">
            <v>0</v>
          </cell>
          <cell r="D2242">
            <v>0</v>
          </cell>
          <cell r="E2242" t="str">
            <v>-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</row>
        <row r="2243">
          <cell r="C2243">
            <v>0</v>
          </cell>
          <cell r="D2243">
            <v>0</v>
          </cell>
          <cell r="E2243" t="str">
            <v>-</v>
          </cell>
          <cell r="F2243">
            <v>0</v>
          </cell>
          <cell r="G2243">
            <v>0</v>
          </cell>
          <cell r="H2243">
            <v>0</v>
          </cell>
          <cell r="I2243">
            <v>0</v>
          </cell>
        </row>
        <row r="2244">
          <cell r="C2244">
            <v>0</v>
          </cell>
          <cell r="D2244">
            <v>0</v>
          </cell>
          <cell r="E2244" t="str">
            <v>-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</row>
        <row r="2245">
          <cell r="C2245">
            <v>0</v>
          </cell>
          <cell r="D2245">
            <v>0</v>
          </cell>
          <cell r="E2245" t="str">
            <v>-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</row>
        <row r="2246">
          <cell r="C2246">
            <v>0</v>
          </cell>
          <cell r="D2246">
            <v>0</v>
          </cell>
          <cell r="E2246" t="str">
            <v>-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</row>
        <row r="2247">
          <cell r="C2247">
            <v>0</v>
          </cell>
          <cell r="D2247">
            <v>0</v>
          </cell>
          <cell r="E2247" t="str">
            <v>-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</row>
        <row r="2248">
          <cell r="C2248">
            <v>0</v>
          </cell>
          <cell r="D2248">
            <v>0</v>
          </cell>
          <cell r="E2248" t="str">
            <v>-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</row>
        <row r="2249">
          <cell r="C2249">
            <v>0</v>
          </cell>
          <cell r="D2249">
            <v>0</v>
          </cell>
          <cell r="E2249" t="str">
            <v>-</v>
          </cell>
          <cell r="F2249">
            <v>0</v>
          </cell>
          <cell r="G2249">
            <v>0</v>
          </cell>
          <cell r="H2249">
            <v>0</v>
          </cell>
          <cell r="I2249">
            <v>0</v>
          </cell>
        </row>
        <row r="2250">
          <cell r="C2250">
            <v>0</v>
          </cell>
          <cell r="D2250">
            <v>0</v>
          </cell>
          <cell r="E2250" t="str">
            <v>-</v>
          </cell>
          <cell r="F2250">
            <v>0</v>
          </cell>
          <cell r="G2250">
            <v>0</v>
          </cell>
          <cell r="H2250">
            <v>0</v>
          </cell>
          <cell r="I2250">
            <v>0</v>
          </cell>
        </row>
        <row r="2251">
          <cell r="C2251">
            <v>0</v>
          </cell>
          <cell r="D2251">
            <v>0</v>
          </cell>
          <cell r="E2251" t="str">
            <v>-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</row>
        <row r="2252">
          <cell r="C2252">
            <v>0</v>
          </cell>
          <cell r="D2252" t="str">
            <v>SUB TOTAL MATERIALES</v>
          </cell>
          <cell r="E2252">
            <v>0</v>
          </cell>
          <cell r="F2252">
            <v>0</v>
          </cell>
          <cell r="G2252">
            <v>0</v>
          </cell>
          <cell r="H2252">
            <v>16375</v>
          </cell>
          <cell r="I2252">
            <v>0</v>
          </cell>
        </row>
        <row r="2253">
          <cell r="C2253">
            <v>0</v>
          </cell>
          <cell r="D2253" t="str">
            <v>B- MANO DE OBRA:</v>
          </cell>
          <cell r="E2253">
            <v>0</v>
          </cell>
          <cell r="F2253">
            <v>0</v>
          </cell>
          <cell r="G2253">
            <v>0</v>
          </cell>
          <cell r="H2253">
            <v>0</v>
          </cell>
          <cell r="I2253">
            <v>0</v>
          </cell>
        </row>
        <row r="2254">
          <cell r="C2254">
            <v>0</v>
          </cell>
          <cell r="D2254" t="str">
            <v>Oficial</v>
          </cell>
          <cell r="E2254" t="str">
            <v>hs</v>
          </cell>
          <cell r="F2254">
            <v>56.619016000000002</v>
          </cell>
          <cell r="G2254">
            <v>15</v>
          </cell>
          <cell r="H2254">
            <v>849.28524000000004</v>
          </cell>
          <cell r="I2254">
            <v>0</v>
          </cell>
        </row>
        <row r="2255">
          <cell r="C2255">
            <v>0</v>
          </cell>
          <cell r="D2255" t="str">
            <v>Ayudante</v>
          </cell>
          <cell r="E2255" t="str">
            <v>hs</v>
          </cell>
          <cell r="F2255">
            <v>48.396512000000008</v>
          </cell>
          <cell r="G2255">
            <v>1.5</v>
          </cell>
          <cell r="H2255">
            <v>72.594768000000016</v>
          </cell>
          <cell r="I2255">
            <v>0</v>
          </cell>
        </row>
        <row r="2256">
          <cell r="C2256">
            <v>0</v>
          </cell>
          <cell r="D2256" t="str">
            <v>-</v>
          </cell>
          <cell r="E2256" t="str">
            <v>-</v>
          </cell>
          <cell r="F2256">
            <v>0</v>
          </cell>
          <cell r="G2256">
            <v>0</v>
          </cell>
          <cell r="H2256">
            <v>0</v>
          </cell>
          <cell r="I2256">
            <v>0</v>
          </cell>
        </row>
        <row r="2257">
          <cell r="C2257">
            <v>0</v>
          </cell>
          <cell r="D2257" t="str">
            <v>-</v>
          </cell>
          <cell r="E2257" t="str">
            <v>-</v>
          </cell>
          <cell r="F2257">
            <v>0</v>
          </cell>
          <cell r="G2257">
            <v>0</v>
          </cell>
          <cell r="H2257">
            <v>0</v>
          </cell>
          <cell r="I2257">
            <v>0</v>
          </cell>
        </row>
        <row r="2258">
          <cell r="C2258">
            <v>0</v>
          </cell>
          <cell r="D2258" t="str">
            <v>-</v>
          </cell>
          <cell r="E2258" t="str">
            <v>-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</row>
        <row r="2259">
          <cell r="C2259">
            <v>0</v>
          </cell>
          <cell r="D2259" t="str">
            <v>SUB TOTAL MANO DE OBRA</v>
          </cell>
          <cell r="E2259">
            <v>0</v>
          </cell>
          <cell r="F2259">
            <v>0</v>
          </cell>
          <cell r="G2259">
            <v>0</v>
          </cell>
          <cell r="H2259">
            <v>921.88000800000009</v>
          </cell>
          <cell r="I2259">
            <v>0</v>
          </cell>
        </row>
        <row r="2260">
          <cell r="C2260">
            <v>0</v>
          </cell>
          <cell r="D2260" t="str">
            <v>C- EQUIPOS:</v>
          </cell>
          <cell r="E2260">
            <v>0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</row>
        <row r="2261">
          <cell r="C2261">
            <v>0</v>
          </cell>
          <cell r="D2261" t="str">
            <v>Herramientas de Mano</v>
          </cell>
          <cell r="E2261" t="str">
            <v>gl</v>
          </cell>
          <cell r="F2261">
            <v>518.90640024000004</v>
          </cell>
          <cell r="G2261">
            <v>1</v>
          </cell>
          <cell r="H2261">
            <v>518.90640024000004</v>
          </cell>
          <cell r="I2261">
            <v>0</v>
          </cell>
        </row>
        <row r="2262">
          <cell r="C2262">
            <v>0</v>
          </cell>
          <cell r="D2262" t="str">
            <v>-</v>
          </cell>
          <cell r="E2262" t="str">
            <v>-</v>
          </cell>
          <cell r="F2262">
            <v>0</v>
          </cell>
          <cell r="G2262">
            <v>0</v>
          </cell>
          <cell r="H2262">
            <v>0</v>
          </cell>
          <cell r="I2262">
            <v>0</v>
          </cell>
        </row>
        <row r="2263">
          <cell r="C2263">
            <v>0</v>
          </cell>
          <cell r="D2263" t="str">
            <v>-</v>
          </cell>
          <cell r="E2263" t="str">
            <v>-</v>
          </cell>
          <cell r="F2263">
            <v>0</v>
          </cell>
          <cell r="G2263">
            <v>0</v>
          </cell>
          <cell r="H2263">
            <v>0</v>
          </cell>
          <cell r="I2263">
            <v>0</v>
          </cell>
        </row>
        <row r="2264">
          <cell r="C2264">
            <v>0</v>
          </cell>
          <cell r="D2264" t="str">
            <v>-</v>
          </cell>
          <cell r="E2264" t="str">
            <v>-</v>
          </cell>
          <cell r="F2264">
            <v>0</v>
          </cell>
          <cell r="G2264">
            <v>0</v>
          </cell>
          <cell r="H2264">
            <v>0</v>
          </cell>
          <cell r="I2264">
            <v>0</v>
          </cell>
        </row>
        <row r="2265">
          <cell r="C2265">
            <v>0</v>
          </cell>
          <cell r="D2265" t="str">
            <v>-</v>
          </cell>
          <cell r="E2265" t="str">
            <v>-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</row>
        <row r="2266">
          <cell r="C2266">
            <v>0</v>
          </cell>
          <cell r="D2266" t="str">
            <v>SUB TOTAL EQUIPOS</v>
          </cell>
          <cell r="E2266">
            <v>0</v>
          </cell>
          <cell r="F2266">
            <v>0</v>
          </cell>
          <cell r="G2266">
            <v>0</v>
          </cell>
          <cell r="H2266">
            <v>518.90640024000004</v>
          </cell>
          <cell r="I2266">
            <v>0</v>
          </cell>
        </row>
        <row r="2267">
          <cell r="C2267">
            <v>0</v>
          </cell>
          <cell r="D2267">
            <v>0</v>
          </cell>
          <cell r="E2267">
            <v>0</v>
          </cell>
          <cell r="F2267">
            <v>0</v>
          </cell>
          <cell r="G2267">
            <v>0</v>
          </cell>
          <cell r="H2267">
            <v>0</v>
          </cell>
          <cell r="I2267">
            <v>0</v>
          </cell>
        </row>
        <row r="2268">
          <cell r="B2268">
            <v>42</v>
          </cell>
          <cell r="C2268">
            <v>0</v>
          </cell>
          <cell r="D2268" t="str">
            <v>COSTO-COSTO</v>
          </cell>
          <cell r="E2268">
            <v>0</v>
          </cell>
          <cell r="F2268">
            <v>0</v>
          </cell>
          <cell r="G2268">
            <v>0</v>
          </cell>
          <cell r="H2268">
            <v>17815.786408240001</v>
          </cell>
          <cell r="I2268">
            <v>0</v>
          </cell>
        </row>
        <row r="2269">
          <cell r="C2269">
            <v>0</v>
          </cell>
          <cell r="D2269" t="str">
            <v>GASTO FINANCIERO</v>
          </cell>
          <cell r="E2269">
            <v>0</v>
          </cell>
          <cell r="F2269">
            <v>0</v>
          </cell>
          <cell r="G2269">
            <v>0.02</v>
          </cell>
          <cell r="H2269">
            <v>356.31572816480002</v>
          </cell>
          <cell r="I2269">
            <v>0</v>
          </cell>
        </row>
        <row r="2270">
          <cell r="C2270">
            <v>0</v>
          </cell>
          <cell r="D2270" t="str">
            <v>SUB TOTAL</v>
          </cell>
          <cell r="E2270">
            <v>0</v>
          </cell>
          <cell r="F2270">
            <v>0</v>
          </cell>
          <cell r="G2270">
            <v>0</v>
          </cell>
          <cell r="H2270">
            <v>18172.102136404799</v>
          </cell>
          <cell r="I2270">
            <v>0</v>
          </cell>
        </row>
        <row r="2271">
          <cell r="C2271">
            <v>0</v>
          </cell>
          <cell r="D2271" t="str">
            <v>GASTOS GENERALES</v>
          </cell>
          <cell r="E2271">
            <v>0</v>
          </cell>
          <cell r="F2271">
            <v>0</v>
          </cell>
          <cell r="G2271">
            <v>0.35116211482007981</v>
          </cell>
          <cell r="H2271">
            <v>6381.3538169464</v>
          </cell>
          <cell r="I2271">
            <v>0</v>
          </cell>
        </row>
        <row r="2272">
          <cell r="C2272">
            <v>0</v>
          </cell>
          <cell r="D2272" t="str">
            <v>BENEFICIO</v>
          </cell>
          <cell r="E2272">
            <v>0</v>
          </cell>
          <cell r="F2272">
            <v>0</v>
          </cell>
          <cell r="G2272">
            <v>0.1</v>
          </cell>
          <cell r="H2272">
            <v>1817.2102136404801</v>
          </cell>
          <cell r="I2272">
            <v>0</v>
          </cell>
        </row>
        <row r="2273">
          <cell r="C2273">
            <v>0</v>
          </cell>
          <cell r="D2273" t="str">
            <v>COSTO TOTAL UNITARIO</v>
          </cell>
          <cell r="E2273">
            <v>0</v>
          </cell>
          <cell r="F2273">
            <v>0</v>
          </cell>
          <cell r="G2273">
            <v>0</v>
          </cell>
          <cell r="H2273">
            <v>26370.666166991679</v>
          </cell>
          <cell r="I2273">
            <v>0</v>
          </cell>
        </row>
        <row r="2274">
          <cell r="C2274">
            <v>0</v>
          </cell>
          <cell r="D2274" t="str">
            <v>IMPUETOS</v>
          </cell>
          <cell r="E2274">
            <v>0</v>
          </cell>
          <cell r="F2274" t="str">
            <v>IIBB</v>
          </cell>
          <cell r="G2274">
            <v>2.4E-2</v>
          </cell>
          <cell r="H2274">
            <v>632.89598800780027</v>
          </cell>
          <cell r="I2274">
            <v>0</v>
          </cell>
        </row>
        <row r="2275">
          <cell r="C2275">
            <v>0</v>
          </cell>
          <cell r="D2275">
            <v>0</v>
          </cell>
          <cell r="E2275">
            <v>0</v>
          </cell>
          <cell r="F2275" t="str">
            <v>IVA</v>
          </cell>
          <cell r="G2275">
            <v>0.21</v>
          </cell>
          <cell r="H2275">
            <v>5537.8398950682522</v>
          </cell>
          <cell r="I2275">
            <v>0</v>
          </cell>
        </row>
        <row r="2276">
          <cell r="C2276">
            <v>0</v>
          </cell>
          <cell r="D2276">
            <v>0</v>
          </cell>
          <cell r="E2276">
            <v>0</v>
          </cell>
          <cell r="F2276">
            <v>0</v>
          </cell>
          <cell r="G2276">
            <v>0</v>
          </cell>
          <cell r="H2276">
            <v>0</v>
          </cell>
          <cell r="I2276">
            <v>0</v>
          </cell>
        </row>
        <row r="2277">
          <cell r="C2277">
            <v>0</v>
          </cell>
          <cell r="D2277" t="str">
            <v>PRECIO TOTAL UNITARIO</v>
          </cell>
          <cell r="E2277">
            <v>0</v>
          </cell>
          <cell r="F2277">
            <v>0</v>
          </cell>
          <cell r="G2277">
            <v>0</v>
          </cell>
          <cell r="H2277">
            <v>32541.402050067732</v>
          </cell>
          <cell r="I2277">
            <v>0</v>
          </cell>
        </row>
        <row r="2278">
          <cell r="C2278">
            <v>0</v>
          </cell>
          <cell r="D2278">
            <v>0</v>
          </cell>
          <cell r="E2278">
            <v>0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</row>
        <row r="2279">
          <cell r="C2279">
            <v>0</v>
          </cell>
          <cell r="D2279">
            <v>0</v>
          </cell>
          <cell r="E2279">
            <v>0</v>
          </cell>
          <cell r="F2279">
            <v>0</v>
          </cell>
          <cell r="G2279">
            <v>0</v>
          </cell>
          <cell r="H2279">
            <v>0</v>
          </cell>
          <cell r="I2279">
            <v>0</v>
          </cell>
        </row>
        <row r="2280">
          <cell r="C2280">
            <v>0</v>
          </cell>
          <cell r="D2280" t="str">
            <v>Rubro:</v>
          </cell>
          <cell r="E2280">
            <v>12</v>
          </cell>
          <cell r="F2280" t="str">
            <v>Mobiliario</v>
          </cell>
          <cell r="G2280" t="e">
            <v>#NAME?</v>
          </cell>
          <cell r="H2280" t="e">
            <v>#NAME?</v>
          </cell>
          <cell r="I2280">
            <v>0</v>
          </cell>
        </row>
        <row r="2281">
          <cell r="C2281">
            <v>0</v>
          </cell>
          <cell r="D2281" t="str">
            <v>Sub Rubro:</v>
          </cell>
          <cell r="E2281">
            <v>12.2</v>
          </cell>
          <cell r="F2281" t="str">
            <v>Muebles Baño Personal</v>
          </cell>
          <cell r="G2281" t="e">
            <v>#NAME?</v>
          </cell>
          <cell r="H2281" t="e">
            <v>#NAME?</v>
          </cell>
          <cell r="I2281">
            <v>0</v>
          </cell>
        </row>
        <row r="2282">
          <cell r="C2282">
            <v>0</v>
          </cell>
          <cell r="D2282" t="str">
            <v>Ítem:</v>
          </cell>
          <cell r="E2282">
            <v>12.2</v>
          </cell>
          <cell r="F2282" t="str">
            <v>Muebles Baño Personal</v>
          </cell>
          <cell r="G2282" t="e">
            <v>#NAME?</v>
          </cell>
          <cell r="H2282" t="e">
            <v>#NAME?</v>
          </cell>
          <cell r="I2282">
            <v>0</v>
          </cell>
        </row>
        <row r="2283">
          <cell r="C2283">
            <v>0</v>
          </cell>
          <cell r="D2283" t="str">
            <v>Unida:</v>
          </cell>
          <cell r="E2283" t="str">
            <v>gl</v>
          </cell>
          <cell r="F2283">
            <v>0</v>
          </cell>
          <cell r="G2283">
            <v>0</v>
          </cell>
          <cell r="H2283">
            <v>0</v>
          </cell>
          <cell r="I2283">
            <v>0</v>
          </cell>
        </row>
        <row r="2284">
          <cell r="C2284">
            <v>0</v>
          </cell>
          <cell r="D2284" t="str">
            <v>DENOMINACION</v>
          </cell>
          <cell r="E2284" t="str">
            <v>UNIDAD</v>
          </cell>
          <cell r="F2284" t="str">
            <v>COSTO UNITARIO</v>
          </cell>
          <cell r="G2284" t="str">
            <v>RENDIMIENTO POR UNIDAD</v>
          </cell>
          <cell r="H2284" t="str">
            <v>COSTO PARCIAL</v>
          </cell>
          <cell r="I2284">
            <v>0</v>
          </cell>
        </row>
        <row r="2285">
          <cell r="C2285">
            <v>0</v>
          </cell>
          <cell r="D2285" t="str">
            <v>A- MATERIALES:</v>
          </cell>
          <cell r="E2285">
            <v>0</v>
          </cell>
          <cell r="F2285">
            <v>0</v>
          </cell>
          <cell r="G2285">
            <v>0</v>
          </cell>
          <cell r="H2285">
            <v>0</v>
          </cell>
          <cell r="I2285">
            <v>0</v>
          </cell>
        </row>
        <row r="2286">
          <cell r="C2286">
            <v>0</v>
          </cell>
          <cell r="D2286" t="str">
            <v>Mueble de Baño</v>
          </cell>
          <cell r="E2286" t="str">
            <v>un</v>
          </cell>
          <cell r="F2286">
            <v>2000</v>
          </cell>
          <cell r="G2286">
            <v>1.8</v>
          </cell>
          <cell r="H2286">
            <v>3600</v>
          </cell>
          <cell r="I2286">
            <v>0</v>
          </cell>
        </row>
        <row r="2287">
          <cell r="C2287">
            <v>0</v>
          </cell>
          <cell r="D2287" t="str">
            <v>Mesada</v>
          </cell>
          <cell r="E2287" t="str">
            <v>un</v>
          </cell>
          <cell r="F2287">
            <v>5875</v>
          </cell>
          <cell r="G2287">
            <v>1</v>
          </cell>
          <cell r="H2287">
            <v>5875</v>
          </cell>
          <cell r="I2287">
            <v>0</v>
          </cell>
        </row>
        <row r="2288">
          <cell r="C2288">
            <v>0</v>
          </cell>
          <cell r="D2288">
            <v>0</v>
          </cell>
          <cell r="E2288" t="str">
            <v>-</v>
          </cell>
          <cell r="F2288">
            <v>0</v>
          </cell>
          <cell r="G2288">
            <v>0</v>
          </cell>
          <cell r="H2288">
            <v>0</v>
          </cell>
          <cell r="I2288">
            <v>0</v>
          </cell>
        </row>
        <row r="2289">
          <cell r="C2289">
            <v>0</v>
          </cell>
          <cell r="D2289">
            <v>0</v>
          </cell>
          <cell r="E2289" t="str">
            <v>-</v>
          </cell>
          <cell r="F2289">
            <v>0</v>
          </cell>
          <cell r="G2289">
            <v>0</v>
          </cell>
          <cell r="H2289">
            <v>0</v>
          </cell>
          <cell r="I2289">
            <v>0</v>
          </cell>
        </row>
        <row r="2290">
          <cell r="C2290">
            <v>0</v>
          </cell>
          <cell r="D2290">
            <v>0</v>
          </cell>
          <cell r="E2290" t="str">
            <v>-</v>
          </cell>
          <cell r="F2290">
            <v>0</v>
          </cell>
          <cell r="G2290">
            <v>0</v>
          </cell>
          <cell r="H2290">
            <v>0</v>
          </cell>
          <cell r="I2290">
            <v>0</v>
          </cell>
        </row>
        <row r="2291">
          <cell r="C2291">
            <v>0</v>
          </cell>
          <cell r="D2291">
            <v>0</v>
          </cell>
          <cell r="E2291" t="str">
            <v>-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</row>
        <row r="2292">
          <cell r="C2292">
            <v>0</v>
          </cell>
          <cell r="D2292">
            <v>0</v>
          </cell>
          <cell r="E2292" t="str">
            <v>-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</row>
        <row r="2293">
          <cell r="C2293">
            <v>0</v>
          </cell>
          <cell r="D2293">
            <v>0</v>
          </cell>
          <cell r="E2293" t="str">
            <v>-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</row>
        <row r="2294">
          <cell r="C2294">
            <v>0</v>
          </cell>
          <cell r="D2294">
            <v>0</v>
          </cell>
          <cell r="E2294" t="str">
            <v>-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</row>
        <row r="2295">
          <cell r="C2295">
            <v>0</v>
          </cell>
          <cell r="D2295">
            <v>0</v>
          </cell>
          <cell r="E2295" t="str">
            <v>-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</row>
        <row r="2296">
          <cell r="C2296">
            <v>0</v>
          </cell>
          <cell r="D2296">
            <v>0</v>
          </cell>
          <cell r="E2296" t="str">
            <v>-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</row>
        <row r="2297">
          <cell r="C2297">
            <v>0</v>
          </cell>
          <cell r="D2297">
            <v>0</v>
          </cell>
          <cell r="E2297" t="str">
            <v>-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</row>
        <row r="2298">
          <cell r="C2298">
            <v>0</v>
          </cell>
          <cell r="D2298">
            <v>0</v>
          </cell>
          <cell r="E2298" t="str">
            <v>-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</row>
        <row r="2299">
          <cell r="C2299">
            <v>0</v>
          </cell>
          <cell r="D2299">
            <v>0</v>
          </cell>
          <cell r="E2299" t="str">
            <v>-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</row>
        <row r="2300">
          <cell r="C2300">
            <v>0</v>
          </cell>
          <cell r="D2300">
            <v>0</v>
          </cell>
          <cell r="E2300" t="str">
            <v>-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</row>
        <row r="2301">
          <cell r="C2301">
            <v>0</v>
          </cell>
          <cell r="D2301">
            <v>0</v>
          </cell>
          <cell r="E2301" t="str">
            <v>-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</row>
        <row r="2302">
          <cell r="C2302">
            <v>0</v>
          </cell>
          <cell r="D2302">
            <v>0</v>
          </cell>
          <cell r="E2302" t="str">
            <v>-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</row>
        <row r="2303">
          <cell r="C2303">
            <v>0</v>
          </cell>
          <cell r="D2303">
            <v>0</v>
          </cell>
          <cell r="E2303" t="str">
            <v>-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</row>
        <row r="2304">
          <cell r="C2304">
            <v>0</v>
          </cell>
          <cell r="D2304">
            <v>0</v>
          </cell>
          <cell r="E2304" t="str">
            <v>-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</row>
        <row r="2305">
          <cell r="C2305">
            <v>0</v>
          </cell>
          <cell r="D2305">
            <v>0</v>
          </cell>
          <cell r="E2305" t="str">
            <v>-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</row>
        <row r="2306">
          <cell r="C2306">
            <v>0</v>
          </cell>
          <cell r="D2306" t="str">
            <v>SUB TOTAL MATERIALES</v>
          </cell>
          <cell r="E2306">
            <v>0</v>
          </cell>
          <cell r="F2306">
            <v>0</v>
          </cell>
          <cell r="G2306">
            <v>0</v>
          </cell>
          <cell r="H2306">
            <v>9475</v>
          </cell>
          <cell r="I2306">
            <v>0</v>
          </cell>
        </row>
        <row r="2307">
          <cell r="C2307">
            <v>0</v>
          </cell>
          <cell r="D2307" t="str">
            <v>B- MANO DE OBRA:</v>
          </cell>
          <cell r="E2307">
            <v>0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</row>
        <row r="2308">
          <cell r="C2308">
            <v>0</v>
          </cell>
          <cell r="D2308" t="str">
            <v>Oficial</v>
          </cell>
          <cell r="E2308" t="str">
            <v>hs</v>
          </cell>
          <cell r="F2308">
            <v>56.619016000000002</v>
          </cell>
          <cell r="G2308">
            <v>20</v>
          </cell>
          <cell r="H2308">
            <v>1132.38032</v>
          </cell>
          <cell r="I2308">
            <v>0</v>
          </cell>
        </row>
        <row r="2309">
          <cell r="C2309">
            <v>0</v>
          </cell>
          <cell r="D2309" t="str">
            <v>Ayudante</v>
          </cell>
          <cell r="E2309" t="str">
            <v>hs</v>
          </cell>
          <cell r="F2309">
            <v>48.396512000000008</v>
          </cell>
          <cell r="G2309">
            <v>10</v>
          </cell>
          <cell r="H2309">
            <v>483.96512000000007</v>
          </cell>
          <cell r="I2309">
            <v>0</v>
          </cell>
        </row>
        <row r="2310">
          <cell r="C2310">
            <v>0</v>
          </cell>
          <cell r="D2310" t="str">
            <v>-</v>
          </cell>
          <cell r="E2310" t="str">
            <v>-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</row>
        <row r="2311">
          <cell r="C2311">
            <v>0</v>
          </cell>
          <cell r="D2311" t="str">
            <v>-</v>
          </cell>
          <cell r="E2311" t="str">
            <v>-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</row>
        <row r="2312">
          <cell r="C2312">
            <v>0</v>
          </cell>
          <cell r="D2312" t="str">
            <v>-</v>
          </cell>
          <cell r="E2312" t="str">
            <v>-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</row>
        <row r="2313">
          <cell r="C2313">
            <v>0</v>
          </cell>
          <cell r="D2313" t="str">
            <v>SUB TOTAL MANO DE OBRA</v>
          </cell>
          <cell r="E2313">
            <v>0</v>
          </cell>
          <cell r="F2313">
            <v>0</v>
          </cell>
          <cell r="G2313">
            <v>0</v>
          </cell>
          <cell r="H2313">
            <v>1616.3454400000001</v>
          </cell>
          <cell r="I2313">
            <v>0</v>
          </cell>
        </row>
        <row r="2314">
          <cell r="C2314">
            <v>0</v>
          </cell>
          <cell r="D2314" t="str">
            <v>C- EQUIPOS:</v>
          </cell>
          <cell r="E2314">
            <v>0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</row>
        <row r="2315">
          <cell r="C2315">
            <v>0</v>
          </cell>
          <cell r="D2315" t="str">
            <v>Herramientas de Mano</v>
          </cell>
          <cell r="E2315" t="str">
            <v>gl</v>
          </cell>
          <cell r="F2315">
            <v>332.74036319999999</v>
          </cell>
          <cell r="G2315">
            <v>1</v>
          </cell>
          <cell r="H2315">
            <v>332.74036319999999</v>
          </cell>
          <cell r="I2315">
            <v>0</v>
          </cell>
        </row>
        <row r="2316">
          <cell r="C2316">
            <v>0</v>
          </cell>
          <cell r="D2316" t="str">
            <v>-</v>
          </cell>
          <cell r="E2316" t="str">
            <v>-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</row>
        <row r="2317">
          <cell r="C2317">
            <v>0</v>
          </cell>
          <cell r="D2317" t="str">
            <v>-</v>
          </cell>
          <cell r="E2317" t="str">
            <v>-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</row>
        <row r="2318">
          <cell r="C2318">
            <v>0</v>
          </cell>
          <cell r="D2318" t="str">
            <v>-</v>
          </cell>
          <cell r="E2318" t="str">
            <v>-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</row>
        <row r="2319">
          <cell r="C2319">
            <v>0</v>
          </cell>
          <cell r="D2319" t="str">
            <v>-</v>
          </cell>
          <cell r="E2319" t="str">
            <v>-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</row>
        <row r="2320">
          <cell r="C2320">
            <v>0</v>
          </cell>
          <cell r="D2320" t="str">
            <v>SUB TOTAL EQUIPOS</v>
          </cell>
          <cell r="E2320">
            <v>0</v>
          </cell>
          <cell r="F2320">
            <v>0</v>
          </cell>
          <cell r="G2320">
            <v>0</v>
          </cell>
          <cell r="H2320">
            <v>332.74036319999999</v>
          </cell>
          <cell r="I2320">
            <v>0</v>
          </cell>
        </row>
        <row r="2321">
          <cell r="C2321">
            <v>0</v>
          </cell>
          <cell r="D2321">
            <v>0</v>
          </cell>
          <cell r="E2321">
            <v>0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</row>
        <row r="2322">
          <cell r="B2322">
            <v>43</v>
          </cell>
          <cell r="C2322">
            <v>0</v>
          </cell>
          <cell r="D2322" t="str">
            <v>COSTO-COSTO</v>
          </cell>
          <cell r="E2322">
            <v>0</v>
          </cell>
          <cell r="F2322">
            <v>0</v>
          </cell>
          <cell r="G2322">
            <v>0</v>
          </cell>
          <cell r="H2322">
            <v>11424.0858032</v>
          </cell>
          <cell r="I2322">
            <v>0</v>
          </cell>
        </row>
        <row r="2323">
          <cell r="C2323">
            <v>0</v>
          </cell>
          <cell r="D2323" t="str">
            <v>GASTO FINANCIERO</v>
          </cell>
          <cell r="E2323">
            <v>0</v>
          </cell>
          <cell r="F2323">
            <v>0</v>
          </cell>
          <cell r="G2323">
            <v>0.02</v>
          </cell>
          <cell r="H2323">
            <v>228.48171606400001</v>
          </cell>
          <cell r="I2323">
            <v>0</v>
          </cell>
        </row>
        <row r="2324">
          <cell r="C2324">
            <v>0</v>
          </cell>
          <cell r="D2324" t="str">
            <v>SUB TOTAL</v>
          </cell>
          <cell r="E2324">
            <v>0</v>
          </cell>
          <cell r="F2324">
            <v>0</v>
          </cell>
          <cell r="G2324">
            <v>0</v>
          </cell>
          <cell r="H2324">
            <v>11652.567519263999</v>
          </cell>
          <cell r="I2324">
            <v>0</v>
          </cell>
        </row>
        <row r="2325">
          <cell r="C2325">
            <v>0</v>
          </cell>
          <cell r="D2325" t="str">
            <v>GASTOS GENERALES</v>
          </cell>
          <cell r="E2325">
            <v>0</v>
          </cell>
          <cell r="F2325">
            <v>0</v>
          </cell>
          <cell r="G2325">
            <v>0.35116211482007981</v>
          </cell>
          <cell r="H2325">
            <v>4091.9402531485171</v>
          </cell>
          <cell r="I2325">
            <v>0</v>
          </cell>
        </row>
        <row r="2326">
          <cell r="C2326">
            <v>0</v>
          </cell>
          <cell r="D2326" t="str">
            <v>BENEFICIO</v>
          </cell>
          <cell r="E2326">
            <v>0</v>
          </cell>
          <cell r="F2326">
            <v>0</v>
          </cell>
          <cell r="G2326">
            <v>0.1</v>
          </cell>
          <cell r="H2326">
            <v>1165.2567519264001</v>
          </cell>
          <cell r="I2326">
            <v>0</v>
          </cell>
        </row>
        <row r="2327">
          <cell r="C2327">
            <v>0</v>
          </cell>
          <cell r="D2327" t="str">
            <v>COSTO TOTAL UNITARIO</v>
          </cell>
          <cell r="E2327">
            <v>0</v>
          </cell>
          <cell r="F2327">
            <v>0</v>
          </cell>
          <cell r="G2327">
            <v>0</v>
          </cell>
          <cell r="H2327">
            <v>16909.764524338916</v>
          </cell>
          <cell r="I2327">
            <v>0</v>
          </cell>
        </row>
        <row r="2328">
          <cell r="C2328">
            <v>0</v>
          </cell>
          <cell r="D2328" t="str">
            <v>IMPUETOS</v>
          </cell>
          <cell r="E2328">
            <v>0</v>
          </cell>
          <cell r="F2328" t="str">
            <v>IIBB</v>
          </cell>
          <cell r="G2328">
            <v>2.4E-2</v>
          </cell>
          <cell r="H2328">
            <v>405.83434858413398</v>
          </cell>
          <cell r="I2328">
            <v>0</v>
          </cell>
        </row>
        <row r="2329">
          <cell r="C2329">
            <v>0</v>
          </cell>
          <cell r="D2329">
            <v>0</v>
          </cell>
          <cell r="E2329">
            <v>0</v>
          </cell>
          <cell r="F2329" t="str">
            <v>IVA</v>
          </cell>
          <cell r="G2329">
            <v>0.21</v>
          </cell>
          <cell r="H2329">
            <v>3551.0505501111725</v>
          </cell>
          <cell r="I2329">
            <v>0</v>
          </cell>
        </row>
        <row r="2330">
          <cell r="C2330">
            <v>0</v>
          </cell>
          <cell r="D2330">
            <v>0</v>
          </cell>
          <cell r="E2330">
            <v>0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</row>
        <row r="2331">
          <cell r="C2331">
            <v>0</v>
          </cell>
          <cell r="D2331" t="str">
            <v>PRECIO TOTAL UNITARIO</v>
          </cell>
          <cell r="E2331">
            <v>0</v>
          </cell>
          <cell r="F2331">
            <v>0</v>
          </cell>
          <cell r="G2331">
            <v>0</v>
          </cell>
          <cell r="H2331">
            <v>20866.649423034221</v>
          </cell>
          <cell r="I2331">
            <v>0</v>
          </cell>
        </row>
        <row r="2332">
          <cell r="C2332">
            <v>0</v>
          </cell>
          <cell r="D2332">
            <v>0</v>
          </cell>
          <cell r="E2332">
            <v>0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</row>
        <row r="2333">
          <cell r="C2333">
            <v>0</v>
          </cell>
          <cell r="D2333">
            <v>0</v>
          </cell>
          <cell r="E2333">
            <v>0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</row>
        <row r="2334">
          <cell r="C2334">
            <v>0</v>
          </cell>
          <cell r="D2334" t="str">
            <v>Rubro:</v>
          </cell>
          <cell r="E2334">
            <v>13</v>
          </cell>
          <cell r="F2334" t="str">
            <v>Alarma</v>
          </cell>
          <cell r="G2334" t="e">
            <v>#NAME?</v>
          </cell>
          <cell r="H2334" t="e">
            <v>#NAME?</v>
          </cell>
          <cell r="I2334">
            <v>0</v>
          </cell>
        </row>
        <row r="2335">
          <cell r="C2335">
            <v>0</v>
          </cell>
          <cell r="D2335" t="str">
            <v>Sub Rubro:</v>
          </cell>
          <cell r="E2335">
            <v>13</v>
          </cell>
          <cell r="F2335" t="str">
            <v>Alarma</v>
          </cell>
          <cell r="G2335" t="e">
            <v>#NAME?</v>
          </cell>
          <cell r="H2335" t="e">
            <v>#NAME?</v>
          </cell>
          <cell r="I2335">
            <v>0</v>
          </cell>
        </row>
        <row r="2336">
          <cell r="C2336">
            <v>0</v>
          </cell>
          <cell r="D2336" t="str">
            <v>Ítem:</v>
          </cell>
          <cell r="E2336">
            <v>13</v>
          </cell>
          <cell r="F2336" t="str">
            <v>Alarma</v>
          </cell>
          <cell r="G2336" t="e">
            <v>#NAME?</v>
          </cell>
          <cell r="H2336" t="e">
            <v>#NAME?</v>
          </cell>
          <cell r="I2336">
            <v>0</v>
          </cell>
        </row>
        <row r="2337">
          <cell r="C2337">
            <v>0</v>
          </cell>
          <cell r="D2337" t="str">
            <v>Unida:</v>
          </cell>
          <cell r="E2337" t="str">
            <v>gl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</row>
        <row r="2338">
          <cell r="C2338">
            <v>0</v>
          </cell>
          <cell r="D2338" t="str">
            <v>DENOMINACION</v>
          </cell>
          <cell r="E2338" t="str">
            <v>UNIDAD</v>
          </cell>
          <cell r="F2338" t="str">
            <v>COSTO UNITARIO</v>
          </cell>
          <cell r="G2338" t="str">
            <v>RENDIMIENTO POR UNIDAD</v>
          </cell>
          <cell r="H2338" t="str">
            <v>COSTO PARCIAL</v>
          </cell>
          <cell r="I2338">
            <v>0</v>
          </cell>
        </row>
        <row r="2339">
          <cell r="C2339">
            <v>0</v>
          </cell>
          <cell r="D2339" t="str">
            <v>A- MATERIALES:</v>
          </cell>
          <cell r="E2339">
            <v>0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</row>
        <row r="2340">
          <cell r="C2340">
            <v>0</v>
          </cell>
          <cell r="D2340" t="str">
            <v>Accesorios</v>
          </cell>
          <cell r="E2340" t="str">
            <v>gl</v>
          </cell>
          <cell r="F2340">
            <v>1500</v>
          </cell>
          <cell r="G2340">
            <v>1</v>
          </cell>
          <cell r="H2340">
            <v>1500</v>
          </cell>
          <cell r="I2340">
            <v>0</v>
          </cell>
        </row>
        <row r="2341">
          <cell r="C2341">
            <v>0</v>
          </cell>
          <cell r="D2341">
            <v>0</v>
          </cell>
          <cell r="E2341" t="str">
            <v>-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</row>
        <row r="2342">
          <cell r="C2342">
            <v>0</v>
          </cell>
          <cell r="D2342">
            <v>0</v>
          </cell>
          <cell r="E2342" t="str">
            <v>-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</row>
        <row r="2343">
          <cell r="C2343">
            <v>0</v>
          </cell>
          <cell r="D2343">
            <v>0</v>
          </cell>
          <cell r="E2343" t="str">
            <v>-</v>
          </cell>
          <cell r="F2343">
            <v>0</v>
          </cell>
          <cell r="G2343">
            <v>0</v>
          </cell>
          <cell r="H2343">
            <v>0</v>
          </cell>
          <cell r="I2343">
            <v>0</v>
          </cell>
        </row>
        <row r="2344">
          <cell r="C2344">
            <v>0</v>
          </cell>
          <cell r="D2344">
            <v>0</v>
          </cell>
          <cell r="E2344" t="str">
            <v>-</v>
          </cell>
          <cell r="F2344">
            <v>0</v>
          </cell>
          <cell r="G2344">
            <v>0</v>
          </cell>
          <cell r="H2344">
            <v>0</v>
          </cell>
          <cell r="I2344">
            <v>0</v>
          </cell>
        </row>
        <row r="2345">
          <cell r="C2345">
            <v>0</v>
          </cell>
          <cell r="D2345">
            <v>0</v>
          </cell>
          <cell r="E2345" t="str">
            <v>-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</row>
        <row r="2346">
          <cell r="C2346">
            <v>0</v>
          </cell>
          <cell r="D2346">
            <v>0</v>
          </cell>
          <cell r="E2346" t="str">
            <v>-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</row>
        <row r="2347">
          <cell r="C2347">
            <v>0</v>
          </cell>
          <cell r="D2347">
            <v>0</v>
          </cell>
          <cell r="E2347" t="str">
            <v>-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</row>
        <row r="2348">
          <cell r="C2348">
            <v>0</v>
          </cell>
          <cell r="D2348">
            <v>0</v>
          </cell>
          <cell r="E2348" t="str">
            <v>-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</row>
        <row r="2349">
          <cell r="C2349">
            <v>0</v>
          </cell>
          <cell r="D2349">
            <v>0</v>
          </cell>
          <cell r="E2349" t="str">
            <v>-</v>
          </cell>
          <cell r="F2349">
            <v>0</v>
          </cell>
          <cell r="G2349">
            <v>0</v>
          </cell>
          <cell r="H2349">
            <v>0</v>
          </cell>
          <cell r="I2349">
            <v>0</v>
          </cell>
        </row>
        <row r="2350">
          <cell r="C2350">
            <v>0</v>
          </cell>
          <cell r="D2350">
            <v>0</v>
          </cell>
          <cell r="E2350" t="str">
            <v>-</v>
          </cell>
          <cell r="F2350">
            <v>0</v>
          </cell>
          <cell r="G2350">
            <v>0</v>
          </cell>
          <cell r="H2350">
            <v>0</v>
          </cell>
          <cell r="I2350">
            <v>0</v>
          </cell>
        </row>
        <row r="2351">
          <cell r="C2351">
            <v>0</v>
          </cell>
          <cell r="D2351">
            <v>0</v>
          </cell>
          <cell r="E2351" t="str">
            <v>-</v>
          </cell>
          <cell r="F2351">
            <v>0</v>
          </cell>
          <cell r="G2351">
            <v>0</v>
          </cell>
          <cell r="H2351">
            <v>0</v>
          </cell>
          <cell r="I2351">
            <v>0</v>
          </cell>
        </row>
        <row r="2352">
          <cell r="C2352">
            <v>0</v>
          </cell>
          <cell r="D2352">
            <v>0</v>
          </cell>
          <cell r="E2352" t="str">
            <v>-</v>
          </cell>
          <cell r="F2352">
            <v>0</v>
          </cell>
          <cell r="G2352">
            <v>0</v>
          </cell>
          <cell r="H2352">
            <v>0</v>
          </cell>
          <cell r="I2352">
            <v>0</v>
          </cell>
        </row>
        <row r="2353">
          <cell r="C2353">
            <v>0</v>
          </cell>
          <cell r="D2353">
            <v>0</v>
          </cell>
          <cell r="E2353" t="str">
            <v>-</v>
          </cell>
          <cell r="F2353">
            <v>0</v>
          </cell>
          <cell r="G2353">
            <v>0</v>
          </cell>
          <cell r="H2353">
            <v>0</v>
          </cell>
          <cell r="I2353">
            <v>0</v>
          </cell>
        </row>
        <row r="2354">
          <cell r="C2354">
            <v>0</v>
          </cell>
          <cell r="D2354">
            <v>0</v>
          </cell>
          <cell r="E2354" t="str">
            <v>-</v>
          </cell>
          <cell r="F2354">
            <v>0</v>
          </cell>
          <cell r="G2354">
            <v>0</v>
          </cell>
          <cell r="H2354">
            <v>0</v>
          </cell>
          <cell r="I2354">
            <v>0</v>
          </cell>
        </row>
        <row r="2355">
          <cell r="C2355">
            <v>0</v>
          </cell>
          <cell r="D2355">
            <v>0</v>
          </cell>
          <cell r="E2355" t="str">
            <v>-</v>
          </cell>
          <cell r="F2355">
            <v>0</v>
          </cell>
          <cell r="G2355">
            <v>0</v>
          </cell>
          <cell r="H2355">
            <v>0</v>
          </cell>
          <cell r="I2355">
            <v>0</v>
          </cell>
        </row>
        <row r="2356">
          <cell r="C2356">
            <v>0</v>
          </cell>
          <cell r="D2356">
            <v>0</v>
          </cell>
          <cell r="E2356" t="str">
            <v>-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</row>
        <row r="2357">
          <cell r="C2357">
            <v>0</v>
          </cell>
          <cell r="D2357">
            <v>0</v>
          </cell>
          <cell r="E2357" t="str">
            <v>-</v>
          </cell>
          <cell r="F2357">
            <v>0</v>
          </cell>
          <cell r="G2357">
            <v>0</v>
          </cell>
          <cell r="H2357">
            <v>0</v>
          </cell>
          <cell r="I2357">
            <v>0</v>
          </cell>
        </row>
        <row r="2358">
          <cell r="C2358">
            <v>0</v>
          </cell>
          <cell r="D2358">
            <v>0</v>
          </cell>
          <cell r="E2358" t="str">
            <v>-</v>
          </cell>
          <cell r="F2358">
            <v>0</v>
          </cell>
          <cell r="G2358">
            <v>0</v>
          </cell>
          <cell r="H2358">
            <v>0</v>
          </cell>
          <cell r="I2358">
            <v>0</v>
          </cell>
        </row>
        <row r="2359">
          <cell r="C2359">
            <v>0</v>
          </cell>
          <cell r="D2359">
            <v>0</v>
          </cell>
          <cell r="E2359" t="str">
            <v>-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</row>
        <row r="2360">
          <cell r="C2360">
            <v>0</v>
          </cell>
          <cell r="D2360" t="str">
            <v>SUB TOTAL MATERIALES</v>
          </cell>
          <cell r="E2360">
            <v>0</v>
          </cell>
          <cell r="F2360">
            <v>0</v>
          </cell>
          <cell r="G2360">
            <v>0</v>
          </cell>
          <cell r="H2360">
            <v>1500</v>
          </cell>
          <cell r="I2360">
            <v>0</v>
          </cell>
        </row>
        <row r="2361">
          <cell r="C2361">
            <v>0</v>
          </cell>
          <cell r="D2361" t="str">
            <v>B- MANO DE OBRA:</v>
          </cell>
          <cell r="E2361">
            <v>0</v>
          </cell>
          <cell r="F2361">
            <v>0</v>
          </cell>
          <cell r="G2361">
            <v>0</v>
          </cell>
          <cell r="H2361">
            <v>0</v>
          </cell>
          <cell r="I2361">
            <v>0</v>
          </cell>
        </row>
        <row r="2362">
          <cell r="C2362">
            <v>0</v>
          </cell>
          <cell r="D2362" t="str">
            <v>Oficial</v>
          </cell>
          <cell r="E2362" t="str">
            <v>hs</v>
          </cell>
          <cell r="F2362">
            <v>56.619016000000002</v>
          </cell>
          <cell r="G2362">
            <v>28</v>
          </cell>
          <cell r="H2362">
            <v>1585.3324480000001</v>
          </cell>
          <cell r="I2362">
            <v>0</v>
          </cell>
        </row>
        <row r="2363">
          <cell r="C2363">
            <v>0</v>
          </cell>
          <cell r="D2363" t="str">
            <v>Ayudante</v>
          </cell>
          <cell r="E2363" t="str">
            <v>hs</v>
          </cell>
          <cell r="F2363">
            <v>48.396512000000008</v>
          </cell>
          <cell r="G2363">
            <v>5</v>
          </cell>
          <cell r="H2363">
            <v>241.98256000000003</v>
          </cell>
          <cell r="I2363">
            <v>0</v>
          </cell>
        </row>
        <row r="2364">
          <cell r="C2364">
            <v>0</v>
          </cell>
          <cell r="D2364" t="str">
            <v>-</v>
          </cell>
          <cell r="E2364" t="str">
            <v>-</v>
          </cell>
          <cell r="F2364">
            <v>0</v>
          </cell>
          <cell r="G2364">
            <v>0</v>
          </cell>
          <cell r="H2364">
            <v>0</v>
          </cell>
          <cell r="I2364">
            <v>0</v>
          </cell>
        </row>
        <row r="2365">
          <cell r="C2365">
            <v>0</v>
          </cell>
          <cell r="D2365" t="str">
            <v>-</v>
          </cell>
          <cell r="E2365" t="str">
            <v>-</v>
          </cell>
          <cell r="F2365">
            <v>0</v>
          </cell>
          <cell r="G2365">
            <v>0</v>
          </cell>
          <cell r="H2365">
            <v>0</v>
          </cell>
          <cell r="I2365">
            <v>0</v>
          </cell>
        </row>
        <row r="2366">
          <cell r="C2366">
            <v>0</v>
          </cell>
          <cell r="D2366" t="str">
            <v>-</v>
          </cell>
          <cell r="E2366" t="str">
            <v>-</v>
          </cell>
          <cell r="F2366">
            <v>0</v>
          </cell>
          <cell r="G2366">
            <v>0</v>
          </cell>
          <cell r="H2366">
            <v>0</v>
          </cell>
          <cell r="I2366">
            <v>0</v>
          </cell>
        </row>
        <row r="2367">
          <cell r="C2367">
            <v>0</v>
          </cell>
          <cell r="D2367" t="str">
            <v>SUB TOTAL MANO DE OBRA</v>
          </cell>
          <cell r="E2367">
            <v>0</v>
          </cell>
          <cell r="F2367">
            <v>0</v>
          </cell>
          <cell r="G2367">
            <v>0</v>
          </cell>
          <cell r="H2367">
            <v>1827.315008</v>
          </cell>
          <cell r="I2367">
            <v>0</v>
          </cell>
        </row>
        <row r="2368">
          <cell r="C2368">
            <v>0</v>
          </cell>
          <cell r="D2368" t="str">
            <v>C- EQUIPOS:</v>
          </cell>
          <cell r="E2368">
            <v>0</v>
          </cell>
          <cell r="F2368">
            <v>0</v>
          </cell>
          <cell r="G2368">
            <v>0</v>
          </cell>
          <cell r="H2368">
            <v>0</v>
          </cell>
          <cell r="I2368">
            <v>0</v>
          </cell>
        </row>
        <row r="2369">
          <cell r="C2369">
            <v>0</v>
          </cell>
          <cell r="D2369" t="str">
            <v>Herramientas de Mano</v>
          </cell>
          <cell r="E2369" t="str">
            <v>gl</v>
          </cell>
          <cell r="F2369">
            <v>99.819450239999995</v>
          </cell>
          <cell r="G2369">
            <v>1</v>
          </cell>
          <cell r="H2369">
            <v>99.819450239999995</v>
          </cell>
          <cell r="I2369">
            <v>0</v>
          </cell>
        </row>
        <row r="2370">
          <cell r="C2370">
            <v>0</v>
          </cell>
          <cell r="D2370" t="str">
            <v>-</v>
          </cell>
          <cell r="E2370" t="str">
            <v>-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</row>
        <row r="2371">
          <cell r="C2371">
            <v>0</v>
          </cell>
          <cell r="D2371" t="str">
            <v>-</v>
          </cell>
          <cell r="E2371" t="str">
            <v>-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</row>
        <row r="2372">
          <cell r="C2372">
            <v>0</v>
          </cell>
          <cell r="D2372" t="str">
            <v>-</v>
          </cell>
          <cell r="E2372" t="str">
            <v>-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</row>
        <row r="2373">
          <cell r="C2373">
            <v>0</v>
          </cell>
          <cell r="D2373" t="str">
            <v>-</v>
          </cell>
          <cell r="E2373" t="str">
            <v>-</v>
          </cell>
          <cell r="F2373">
            <v>0</v>
          </cell>
          <cell r="G2373">
            <v>0</v>
          </cell>
          <cell r="H2373">
            <v>0</v>
          </cell>
          <cell r="I2373">
            <v>0</v>
          </cell>
        </row>
        <row r="2374">
          <cell r="C2374">
            <v>0</v>
          </cell>
          <cell r="D2374" t="str">
            <v>SUB TOTAL EQUIPOS</v>
          </cell>
          <cell r="E2374">
            <v>0</v>
          </cell>
          <cell r="F2374">
            <v>0</v>
          </cell>
          <cell r="G2374">
            <v>0</v>
          </cell>
          <cell r="H2374">
            <v>99.819450239999995</v>
          </cell>
          <cell r="I2374">
            <v>0</v>
          </cell>
        </row>
        <row r="2375">
          <cell r="C2375">
            <v>0</v>
          </cell>
          <cell r="D2375">
            <v>0</v>
          </cell>
          <cell r="E2375">
            <v>0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</row>
        <row r="2376">
          <cell r="B2376">
            <v>44</v>
          </cell>
          <cell r="C2376">
            <v>0</v>
          </cell>
          <cell r="D2376" t="str">
            <v>COSTO-COSTO</v>
          </cell>
          <cell r="E2376">
            <v>0</v>
          </cell>
          <cell r="F2376">
            <v>0</v>
          </cell>
          <cell r="G2376">
            <v>0</v>
          </cell>
          <cell r="H2376">
            <v>3427.1344582399997</v>
          </cell>
          <cell r="I2376">
            <v>0</v>
          </cell>
        </row>
        <row r="2377">
          <cell r="C2377">
            <v>0</v>
          </cell>
          <cell r="D2377" t="str">
            <v>GASTO FINANCIERO</v>
          </cell>
          <cell r="E2377">
            <v>0</v>
          </cell>
          <cell r="F2377">
            <v>0</v>
          </cell>
          <cell r="G2377">
            <v>0.02</v>
          </cell>
          <cell r="H2377">
            <v>68.542689164799995</v>
          </cell>
          <cell r="I2377">
            <v>0</v>
          </cell>
        </row>
        <row r="2378">
          <cell r="C2378">
            <v>0</v>
          </cell>
          <cell r="D2378" t="str">
            <v>SUB TOTAL</v>
          </cell>
          <cell r="E2378">
            <v>0</v>
          </cell>
          <cell r="F2378">
            <v>0</v>
          </cell>
          <cell r="G2378">
            <v>0</v>
          </cell>
          <cell r="H2378">
            <v>3495.6771474047996</v>
          </cell>
          <cell r="I2378">
            <v>0</v>
          </cell>
        </row>
        <row r="2379">
          <cell r="C2379">
            <v>0</v>
          </cell>
          <cell r="D2379" t="str">
            <v>GASTOS GENERALES</v>
          </cell>
          <cell r="E2379">
            <v>0</v>
          </cell>
          <cell r="F2379">
            <v>0</v>
          </cell>
          <cell r="G2379">
            <v>0.35116211482007981</v>
          </cell>
          <cell r="H2379">
            <v>1227.5493798108932</v>
          </cell>
          <cell r="I2379">
            <v>0</v>
          </cell>
        </row>
        <row r="2380">
          <cell r="C2380">
            <v>0</v>
          </cell>
          <cell r="D2380" t="str">
            <v>BENEFICIO</v>
          </cell>
          <cell r="E2380">
            <v>0</v>
          </cell>
          <cell r="F2380">
            <v>0</v>
          </cell>
          <cell r="G2380">
            <v>0.1</v>
          </cell>
          <cell r="H2380">
            <v>349.56771474047997</v>
          </cell>
          <cell r="I2380">
            <v>0</v>
          </cell>
        </row>
        <row r="2381">
          <cell r="C2381">
            <v>0</v>
          </cell>
          <cell r="D2381" t="str">
            <v>COSTO TOTAL UNITARIO</v>
          </cell>
          <cell r="E2381">
            <v>0</v>
          </cell>
          <cell r="F2381">
            <v>0</v>
          </cell>
          <cell r="G2381">
            <v>0</v>
          </cell>
          <cell r="H2381">
            <v>5072.7942419561732</v>
          </cell>
          <cell r="I2381">
            <v>0</v>
          </cell>
        </row>
        <row r="2382">
          <cell r="C2382">
            <v>0</v>
          </cell>
          <cell r="D2382" t="str">
            <v>IMPUETOS</v>
          </cell>
          <cell r="E2382">
            <v>0</v>
          </cell>
          <cell r="F2382" t="str">
            <v>IIBB</v>
          </cell>
          <cell r="G2382">
            <v>2.4E-2</v>
          </cell>
          <cell r="H2382">
            <v>121.74706180694815</v>
          </cell>
          <cell r="I2382">
            <v>0</v>
          </cell>
        </row>
        <row r="2383">
          <cell r="C2383">
            <v>0</v>
          </cell>
          <cell r="D2383">
            <v>0</v>
          </cell>
          <cell r="E2383">
            <v>0</v>
          </cell>
          <cell r="F2383" t="str">
            <v>IVA</v>
          </cell>
          <cell r="G2383">
            <v>0.21</v>
          </cell>
          <cell r="H2383">
            <v>1065.2867908107964</v>
          </cell>
          <cell r="I2383">
            <v>0</v>
          </cell>
        </row>
        <row r="2384">
          <cell r="C2384">
            <v>0</v>
          </cell>
          <cell r="D2384">
            <v>0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</row>
        <row r="2385">
          <cell r="C2385">
            <v>0</v>
          </cell>
          <cell r="D2385" t="str">
            <v>PRECIO TOTAL UNITARIO</v>
          </cell>
          <cell r="E2385">
            <v>0</v>
          </cell>
          <cell r="F2385">
            <v>0</v>
          </cell>
          <cell r="G2385">
            <v>0</v>
          </cell>
          <cell r="H2385">
            <v>6259.828094573918</v>
          </cell>
          <cell r="I2385">
            <v>0</v>
          </cell>
        </row>
        <row r="2386">
          <cell r="C2386">
            <v>0</v>
          </cell>
          <cell r="D2386">
            <v>0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</row>
        <row r="2387">
          <cell r="C2387">
            <v>0</v>
          </cell>
          <cell r="D2387">
            <v>0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</row>
        <row r="2388">
          <cell r="C2388">
            <v>0</v>
          </cell>
          <cell r="D2388" t="str">
            <v>Rubro:</v>
          </cell>
          <cell r="E2388">
            <v>14</v>
          </cell>
          <cell r="F2388" t="str">
            <v>Limpieza de Obra</v>
          </cell>
          <cell r="G2388" t="e">
            <v>#NAME?</v>
          </cell>
          <cell r="H2388" t="e">
            <v>#NAME?</v>
          </cell>
          <cell r="I2388">
            <v>0</v>
          </cell>
        </row>
        <row r="2389">
          <cell r="C2389">
            <v>0</v>
          </cell>
          <cell r="D2389" t="str">
            <v>Sub Rubro:</v>
          </cell>
          <cell r="E2389">
            <v>14</v>
          </cell>
          <cell r="F2389" t="str">
            <v>Limpieza de Obra</v>
          </cell>
          <cell r="G2389" t="e">
            <v>#NAME?</v>
          </cell>
          <cell r="H2389" t="e">
            <v>#NAME?</v>
          </cell>
          <cell r="I2389">
            <v>0</v>
          </cell>
        </row>
        <row r="2390">
          <cell r="C2390">
            <v>0</v>
          </cell>
          <cell r="D2390" t="str">
            <v>Ítem:</v>
          </cell>
          <cell r="E2390">
            <v>14</v>
          </cell>
          <cell r="F2390" t="str">
            <v>Limpieza de Obra</v>
          </cell>
          <cell r="G2390" t="e">
            <v>#NAME?</v>
          </cell>
          <cell r="H2390" t="e">
            <v>#NAME?</v>
          </cell>
          <cell r="I2390">
            <v>0</v>
          </cell>
        </row>
        <row r="2391">
          <cell r="C2391">
            <v>0</v>
          </cell>
          <cell r="D2391" t="str">
            <v>Unida:</v>
          </cell>
          <cell r="E2391" t="str">
            <v>gl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</row>
        <row r="2392">
          <cell r="C2392">
            <v>0</v>
          </cell>
          <cell r="D2392" t="str">
            <v>DENOMINACION</v>
          </cell>
          <cell r="E2392" t="str">
            <v>UNIDAD</v>
          </cell>
          <cell r="F2392" t="str">
            <v>COSTO UNITARIO</v>
          </cell>
          <cell r="G2392" t="str">
            <v>RENDIMIENTO POR UNIDAD</v>
          </cell>
          <cell r="H2392" t="str">
            <v>COSTO PARCIAL</v>
          </cell>
          <cell r="I2392">
            <v>0</v>
          </cell>
        </row>
        <row r="2393">
          <cell r="C2393">
            <v>0</v>
          </cell>
          <cell r="D2393" t="str">
            <v>A- MATERIALES: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</row>
        <row r="2394">
          <cell r="C2394">
            <v>0</v>
          </cell>
          <cell r="D2394" t="str">
            <v>Accesorios</v>
          </cell>
          <cell r="E2394" t="str">
            <v>gl</v>
          </cell>
          <cell r="F2394">
            <v>1500</v>
          </cell>
          <cell r="G2394">
            <v>2</v>
          </cell>
          <cell r="H2394">
            <v>3000</v>
          </cell>
          <cell r="I2394">
            <v>0</v>
          </cell>
        </row>
        <row r="2395">
          <cell r="C2395">
            <v>0</v>
          </cell>
          <cell r="D2395">
            <v>0</v>
          </cell>
          <cell r="E2395" t="str">
            <v>-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</row>
        <row r="2396">
          <cell r="C2396">
            <v>0</v>
          </cell>
          <cell r="D2396">
            <v>0</v>
          </cell>
          <cell r="E2396" t="str">
            <v>-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</row>
        <row r="2397">
          <cell r="C2397">
            <v>0</v>
          </cell>
          <cell r="D2397">
            <v>0</v>
          </cell>
          <cell r="E2397" t="str">
            <v>-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</row>
        <row r="2398">
          <cell r="C2398">
            <v>0</v>
          </cell>
          <cell r="D2398">
            <v>0</v>
          </cell>
          <cell r="E2398" t="str">
            <v>-</v>
          </cell>
          <cell r="F2398">
            <v>0</v>
          </cell>
          <cell r="G2398">
            <v>0</v>
          </cell>
          <cell r="H2398">
            <v>0</v>
          </cell>
          <cell r="I2398">
            <v>0</v>
          </cell>
        </row>
        <row r="2399">
          <cell r="C2399">
            <v>0</v>
          </cell>
          <cell r="D2399">
            <v>0</v>
          </cell>
          <cell r="E2399" t="str">
            <v>-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</row>
        <row r="2400">
          <cell r="C2400">
            <v>0</v>
          </cell>
          <cell r="D2400">
            <v>0</v>
          </cell>
          <cell r="E2400" t="str">
            <v>-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</row>
        <row r="2401">
          <cell r="C2401">
            <v>0</v>
          </cell>
          <cell r="D2401">
            <v>0</v>
          </cell>
          <cell r="E2401" t="str">
            <v>-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</row>
        <row r="2402">
          <cell r="C2402">
            <v>0</v>
          </cell>
          <cell r="D2402">
            <v>0</v>
          </cell>
          <cell r="E2402" t="str">
            <v>-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</row>
        <row r="2403">
          <cell r="C2403">
            <v>0</v>
          </cell>
          <cell r="D2403">
            <v>0</v>
          </cell>
          <cell r="E2403" t="str">
            <v>-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</row>
        <row r="2404">
          <cell r="C2404">
            <v>0</v>
          </cell>
          <cell r="D2404">
            <v>0</v>
          </cell>
          <cell r="E2404" t="str">
            <v>-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</row>
        <row r="2405">
          <cell r="C2405">
            <v>0</v>
          </cell>
          <cell r="D2405">
            <v>0</v>
          </cell>
          <cell r="E2405" t="str">
            <v>-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</row>
        <row r="2406">
          <cell r="C2406">
            <v>0</v>
          </cell>
          <cell r="D2406">
            <v>0</v>
          </cell>
          <cell r="E2406" t="str">
            <v>-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</row>
        <row r="2407">
          <cell r="C2407">
            <v>0</v>
          </cell>
          <cell r="D2407">
            <v>0</v>
          </cell>
          <cell r="E2407" t="str">
            <v>-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</row>
        <row r="2408">
          <cell r="C2408">
            <v>0</v>
          </cell>
          <cell r="D2408">
            <v>0</v>
          </cell>
          <cell r="E2408" t="str">
            <v>-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</row>
        <row r="2409">
          <cell r="C2409">
            <v>0</v>
          </cell>
          <cell r="D2409">
            <v>0</v>
          </cell>
          <cell r="E2409" t="str">
            <v>-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</row>
        <row r="2410">
          <cell r="C2410">
            <v>0</v>
          </cell>
          <cell r="D2410">
            <v>0</v>
          </cell>
          <cell r="E2410" t="str">
            <v>-</v>
          </cell>
          <cell r="F2410">
            <v>0</v>
          </cell>
          <cell r="G2410">
            <v>0</v>
          </cell>
          <cell r="H2410">
            <v>0</v>
          </cell>
          <cell r="I2410">
            <v>0</v>
          </cell>
        </row>
        <row r="2411">
          <cell r="C2411">
            <v>0</v>
          </cell>
          <cell r="D2411">
            <v>0</v>
          </cell>
          <cell r="E2411" t="str">
            <v>-</v>
          </cell>
          <cell r="F2411">
            <v>0</v>
          </cell>
          <cell r="G2411">
            <v>0</v>
          </cell>
          <cell r="H2411">
            <v>0</v>
          </cell>
          <cell r="I2411">
            <v>0</v>
          </cell>
        </row>
        <row r="2412">
          <cell r="C2412">
            <v>0</v>
          </cell>
          <cell r="D2412">
            <v>0</v>
          </cell>
          <cell r="E2412" t="str">
            <v>-</v>
          </cell>
          <cell r="F2412">
            <v>0</v>
          </cell>
          <cell r="G2412">
            <v>0</v>
          </cell>
          <cell r="H2412">
            <v>0</v>
          </cell>
          <cell r="I2412">
            <v>0</v>
          </cell>
        </row>
        <row r="2413">
          <cell r="C2413">
            <v>0</v>
          </cell>
          <cell r="D2413">
            <v>0</v>
          </cell>
          <cell r="E2413" t="str">
            <v>-</v>
          </cell>
          <cell r="F2413">
            <v>0</v>
          </cell>
          <cell r="G2413">
            <v>0</v>
          </cell>
          <cell r="H2413">
            <v>0</v>
          </cell>
          <cell r="I2413">
            <v>0</v>
          </cell>
        </row>
        <row r="2414">
          <cell r="C2414">
            <v>0</v>
          </cell>
          <cell r="D2414" t="str">
            <v>SUB TOTAL MATERIALES</v>
          </cell>
          <cell r="E2414">
            <v>0</v>
          </cell>
          <cell r="F2414">
            <v>0</v>
          </cell>
          <cell r="G2414">
            <v>0</v>
          </cell>
          <cell r="H2414">
            <v>3000</v>
          </cell>
          <cell r="I2414">
            <v>0</v>
          </cell>
        </row>
        <row r="2415">
          <cell r="C2415">
            <v>0</v>
          </cell>
          <cell r="D2415" t="str">
            <v>B- MANO DE OBRA: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</row>
        <row r="2416">
          <cell r="C2416">
            <v>0</v>
          </cell>
          <cell r="D2416" t="str">
            <v>Oficial</v>
          </cell>
          <cell r="E2416" t="str">
            <v>hs</v>
          </cell>
          <cell r="F2416">
            <v>56.619016000000002</v>
          </cell>
          <cell r="G2416">
            <v>100</v>
          </cell>
          <cell r="H2416">
            <v>5661.9016000000001</v>
          </cell>
          <cell r="I2416">
            <v>0</v>
          </cell>
        </row>
        <row r="2417">
          <cell r="C2417">
            <v>0</v>
          </cell>
          <cell r="D2417" t="str">
            <v>Ayudante</v>
          </cell>
          <cell r="E2417" t="str">
            <v>hs</v>
          </cell>
          <cell r="F2417">
            <v>48.396512000000008</v>
          </cell>
          <cell r="G2417">
            <v>180</v>
          </cell>
          <cell r="H2417">
            <v>8711.3721600000008</v>
          </cell>
          <cell r="I2417">
            <v>0</v>
          </cell>
        </row>
        <row r="2418">
          <cell r="C2418">
            <v>0</v>
          </cell>
          <cell r="D2418" t="str">
            <v>-</v>
          </cell>
          <cell r="E2418" t="str">
            <v>-</v>
          </cell>
          <cell r="F2418">
            <v>0</v>
          </cell>
          <cell r="G2418">
            <v>0</v>
          </cell>
          <cell r="H2418">
            <v>0</v>
          </cell>
          <cell r="I2418">
            <v>0</v>
          </cell>
        </row>
        <row r="2419">
          <cell r="C2419">
            <v>0</v>
          </cell>
          <cell r="D2419" t="str">
            <v>-</v>
          </cell>
          <cell r="E2419" t="str">
            <v>-</v>
          </cell>
          <cell r="F2419">
            <v>0</v>
          </cell>
          <cell r="G2419">
            <v>0</v>
          </cell>
          <cell r="H2419">
            <v>0</v>
          </cell>
          <cell r="I2419">
            <v>0</v>
          </cell>
        </row>
        <row r="2420">
          <cell r="C2420">
            <v>0</v>
          </cell>
          <cell r="D2420" t="str">
            <v>-</v>
          </cell>
          <cell r="E2420" t="str">
            <v>-</v>
          </cell>
          <cell r="F2420">
            <v>0</v>
          </cell>
          <cell r="G2420">
            <v>0</v>
          </cell>
          <cell r="H2420">
            <v>0</v>
          </cell>
          <cell r="I2420">
            <v>0</v>
          </cell>
        </row>
        <row r="2421">
          <cell r="C2421">
            <v>0</v>
          </cell>
          <cell r="D2421" t="str">
            <v>SUB TOTAL MANO DE OBRA</v>
          </cell>
          <cell r="E2421">
            <v>0</v>
          </cell>
          <cell r="F2421">
            <v>0</v>
          </cell>
          <cell r="G2421">
            <v>0</v>
          </cell>
          <cell r="H2421">
            <v>14373.27376</v>
          </cell>
          <cell r="I2421">
            <v>0</v>
          </cell>
        </row>
        <row r="2422">
          <cell r="C2422">
            <v>0</v>
          </cell>
          <cell r="D2422" t="str">
            <v>C- EQUIPOS:</v>
          </cell>
          <cell r="E2422">
            <v>0</v>
          </cell>
          <cell r="F2422">
            <v>0</v>
          </cell>
          <cell r="G2422">
            <v>0</v>
          </cell>
          <cell r="H2422">
            <v>0</v>
          </cell>
          <cell r="I2422">
            <v>0</v>
          </cell>
        </row>
        <row r="2423">
          <cell r="C2423">
            <v>0</v>
          </cell>
          <cell r="D2423" t="str">
            <v>Herramientas de Mano</v>
          </cell>
          <cell r="E2423" t="str">
            <v>gl</v>
          </cell>
          <cell r="F2423">
            <v>521.19821279999996</v>
          </cell>
          <cell r="G2423">
            <v>1</v>
          </cell>
          <cell r="H2423">
            <v>521.19821279999996</v>
          </cell>
          <cell r="I2423">
            <v>0</v>
          </cell>
        </row>
        <row r="2424">
          <cell r="C2424">
            <v>0</v>
          </cell>
          <cell r="D2424" t="str">
            <v>-</v>
          </cell>
          <cell r="E2424" t="str">
            <v>-</v>
          </cell>
          <cell r="F2424">
            <v>0</v>
          </cell>
          <cell r="G2424">
            <v>0</v>
          </cell>
          <cell r="H2424">
            <v>0</v>
          </cell>
          <cell r="I2424">
            <v>0</v>
          </cell>
        </row>
        <row r="2425">
          <cell r="C2425">
            <v>0</v>
          </cell>
          <cell r="D2425" t="str">
            <v>-</v>
          </cell>
          <cell r="E2425" t="str">
            <v>-</v>
          </cell>
          <cell r="F2425">
            <v>0</v>
          </cell>
          <cell r="G2425">
            <v>0</v>
          </cell>
          <cell r="H2425">
            <v>0</v>
          </cell>
          <cell r="I2425">
            <v>0</v>
          </cell>
        </row>
        <row r="2426">
          <cell r="C2426">
            <v>0</v>
          </cell>
          <cell r="D2426" t="str">
            <v>-</v>
          </cell>
          <cell r="E2426" t="str">
            <v>-</v>
          </cell>
          <cell r="F2426">
            <v>0</v>
          </cell>
          <cell r="G2426">
            <v>0</v>
          </cell>
          <cell r="H2426">
            <v>0</v>
          </cell>
          <cell r="I2426">
            <v>0</v>
          </cell>
        </row>
        <row r="2427">
          <cell r="C2427">
            <v>0</v>
          </cell>
          <cell r="D2427" t="str">
            <v>-</v>
          </cell>
          <cell r="E2427" t="str">
            <v>-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</row>
        <row r="2428">
          <cell r="C2428">
            <v>0</v>
          </cell>
          <cell r="D2428" t="str">
            <v>SUB TOTAL EQUIPOS</v>
          </cell>
          <cell r="E2428">
            <v>0</v>
          </cell>
          <cell r="F2428">
            <v>0</v>
          </cell>
          <cell r="G2428">
            <v>0</v>
          </cell>
          <cell r="H2428">
            <v>521.19821279999996</v>
          </cell>
          <cell r="I2428">
            <v>0</v>
          </cell>
        </row>
        <row r="2429">
          <cell r="C2429">
            <v>0</v>
          </cell>
          <cell r="D2429">
            <v>0</v>
          </cell>
          <cell r="E2429">
            <v>0</v>
          </cell>
          <cell r="F2429">
            <v>0</v>
          </cell>
          <cell r="G2429">
            <v>0</v>
          </cell>
          <cell r="H2429">
            <v>0</v>
          </cell>
          <cell r="I2429">
            <v>0</v>
          </cell>
        </row>
        <row r="2430">
          <cell r="B2430">
            <v>45</v>
          </cell>
          <cell r="C2430">
            <v>0</v>
          </cell>
          <cell r="D2430" t="str">
            <v>COSTO-COSTO</v>
          </cell>
          <cell r="E2430">
            <v>0</v>
          </cell>
          <cell r="F2430">
            <v>0</v>
          </cell>
          <cell r="G2430">
            <v>0</v>
          </cell>
          <cell r="H2430">
            <v>17894.471972799998</v>
          </cell>
          <cell r="I2430">
            <v>0</v>
          </cell>
        </row>
        <row r="2431">
          <cell r="C2431">
            <v>0</v>
          </cell>
          <cell r="D2431" t="str">
            <v>GASTO FINANCIERO</v>
          </cell>
          <cell r="E2431">
            <v>0</v>
          </cell>
          <cell r="F2431">
            <v>0</v>
          </cell>
          <cell r="G2431">
            <v>0.02</v>
          </cell>
          <cell r="H2431">
            <v>357.88943945599999</v>
          </cell>
          <cell r="I2431">
            <v>0</v>
          </cell>
        </row>
        <row r="2432">
          <cell r="C2432">
            <v>0</v>
          </cell>
          <cell r="D2432" t="str">
            <v>SUB TOTAL</v>
          </cell>
          <cell r="E2432">
            <v>0</v>
          </cell>
          <cell r="F2432">
            <v>0</v>
          </cell>
          <cell r="G2432">
            <v>0</v>
          </cell>
          <cell r="H2432">
            <v>18252.361412255999</v>
          </cell>
          <cell r="I2432">
            <v>0</v>
          </cell>
        </row>
        <row r="2433">
          <cell r="C2433">
            <v>0</v>
          </cell>
          <cell r="D2433" t="str">
            <v>GASTOS GENERALES</v>
          </cell>
          <cell r="E2433">
            <v>0</v>
          </cell>
          <cell r="F2433">
            <v>0</v>
          </cell>
          <cell r="G2433">
            <v>0.35116211482007981</v>
          </cell>
          <cell r="H2433">
            <v>6409.5378339882354</v>
          </cell>
          <cell r="I2433">
            <v>0</v>
          </cell>
        </row>
        <row r="2434">
          <cell r="C2434">
            <v>0</v>
          </cell>
          <cell r="D2434" t="str">
            <v>BENEFICIO</v>
          </cell>
          <cell r="E2434">
            <v>0</v>
          </cell>
          <cell r="F2434">
            <v>0</v>
          </cell>
          <cell r="G2434">
            <v>0.1</v>
          </cell>
          <cell r="H2434">
            <v>1825.2361412256</v>
          </cell>
          <cell r="I2434">
            <v>0</v>
          </cell>
        </row>
        <row r="2435">
          <cell r="C2435">
            <v>0</v>
          </cell>
          <cell r="D2435" t="str">
            <v>COSTO TOTAL UNITARIO</v>
          </cell>
          <cell r="E2435">
            <v>0</v>
          </cell>
          <cell r="F2435">
            <v>0</v>
          </cell>
          <cell r="G2435">
            <v>0</v>
          </cell>
          <cell r="H2435">
            <v>26487.135387469832</v>
          </cell>
          <cell r="I2435">
            <v>0</v>
          </cell>
        </row>
        <row r="2436">
          <cell r="C2436">
            <v>0</v>
          </cell>
          <cell r="D2436" t="str">
            <v>IMPUETOS</v>
          </cell>
          <cell r="E2436">
            <v>0</v>
          </cell>
          <cell r="F2436" t="str">
            <v>IIBB</v>
          </cell>
          <cell r="G2436">
            <v>2.4E-2</v>
          </cell>
          <cell r="H2436">
            <v>635.69124929927602</v>
          </cell>
          <cell r="I2436">
            <v>0</v>
          </cell>
        </row>
        <row r="2437">
          <cell r="C2437">
            <v>0</v>
          </cell>
          <cell r="D2437">
            <v>0</v>
          </cell>
          <cell r="E2437">
            <v>0</v>
          </cell>
          <cell r="F2437" t="str">
            <v>IVA</v>
          </cell>
          <cell r="G2437">
            <v>0.21</v>
          </cell>
          <cell r="H2437">
            <v>5562.2984313686648</v>
          </cell>
          <cell r="I2437">
            <v>0</v>
          </cell>
        </row>
        <row r="2438">
          <cell r="C2438">
            <v>0</v>
          </cell>
          <cell r="D2438">
            <v>0</v>
          </cell>
          <cell r="E2438">
            <v>0</v>
          </cell>
          <cell r="F2438">
            <v>0</v>
          </cell>
          <cell r="G2438">
            <v>0</v>
          </cell>
          <cell r="H2438">
            <v>0</v>
          </cell>
          <cell r="I2438">
            <v>0</v>
          </cell>
        </row>
        <row r="2439">
          <cell r="C2439">
            <v>0</v>
          </cell>
          <cell r="D2439" t="str">
            <v>PRECIO TOTAL UNITARIO</v>
          </cell>
          <cell r="E2439">
            <v>0</v>
          </cell>
          <cell r="F2439">
            <v>0</v>
          </cell>
          <cell r="G2439">
            <v>0</v>
          </cell>
          <cell r="H2439">
            <v>32685.125068137775</v>
          </cell>
          <cell r="I2439">
            <v>0</v>
          </cell>
        </row>
        <row r="2440">
          <cell r="C2440">
            <v>0</v>
          </cell>
          <cell r="D2440">
            <v>0</v>
          </cell>
          <cell r="E2440">
            <v>0</v>
          </cell>
          <cell r="F2440">
            <v>0</v>
          </cell>
          <cell r="G2440">
            <v>0</v>
          </cell>
          <cell r="H2440">
            <v>0</v>
          </cell>
          <cell r="I2440">
            <v>0</v>
          </cell>
        </row>
      </sheetData>
      <sheetData sheetId="3"/>
      <sheetData sheetId="4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es M.O."/>
      <sheetName val="Rubros Sub RubRos"/>
      <sheetName val="AP MI"/>
      <sheetName val="Cómp. y Presup."/>
      <sheetName val="plan de Trabajo"/>
      <sheetName val="Gráfico1"/>
      <sheetName val="GG"/>
      <sheetName val="Hoja3"/>
    </sheetNames>
    <sheetDataSet>
      <sheetData sheetId="0"/>
      <sheetData sheetId="1"/>
      <sheetData sheetId="2"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D14">
            <v>0</v>
          </cell>
          <cell r="E14" t="str">
            <v>Rubro:</v>
          </cell>
          <cell r="F14" t="str">
            <v>01</v>
          </cell>
          <cell r="G14" t="str">
            <v>INSTALACIÓN REDES DE GAS</v>
          </cell>
          <cell r="H14" t="e">
            <v>#NAME?</v>
          </cell>
          <cell r="I14" t="e">
            <v>#NAME?</v>
          </cell>
        </row>
        <row r="15">
          <cell r="D15">
            <v>0</v>
          </cell>
          <cell r="E15" t="str">
            <v>Sub Rubro:</v>
          </cell>
          <cell r="F15" t="str">
            <v>01.01</v>
          </cell>
          <cell r="G15" t="str">
            <v>Rotura de espacios afectados</v>
          </cell>
          <cell r="H15" t="e">
            <v>#NAME?</v>
          </cell>
          <cell r="I15" t="e">
            <v>#NAME?</v>
          </cell>
        </row>
        <row r="16">
          <cell r="D16">
            <v>0</v>
          </cell>
          <cell r="E16" t="str">
            <v>Ítem:</v>
          </cell>
          <cell r="F16" t="str">
            <v>01.01</v>
          </cell>
          <cell r="G16" t="str">
            <v>Rotura de espacios afectados</v>
          </cell>
          <cell r="H16" t="e">
            <v>#NAME?</v>
          </cell>
          <cell r="I16" t="e">
            <v>#NAME?</v>
          </cell>
        </row>
        <row r="17">
          <cell r="D17">
            <v>0</v>
          </cell>
          <cell r="E17" t="str">
            <v>Unida:</v>
          </cell>
          <cell r="F17" t="str">
            <v>gl</v>
          </cell>
          <cell r="G17">
            <v>0</v>
          </cell>
          <cell r="H17">
            <v>0</v>
          </cell>
          <cell r="I17">
            <v>0</v>
          </cell>
        </row>
        <row r="18">
          <cell r="D18">
            <v>0</v>
          </cell>
          <cell r="E18" t="str">
            <v>DENOMINACION</v>
          </cell>
          <cell r="F18" t="str">
            <v>UNIDAD</v>
          </cell>
          <cell r="G18" t="str">
            <v>COSTO UNITARIO</v>
          </cell>
          <cell r="H18" t="str">
            <v>RENDIMIENTO POR UNIDAD</v>
          </cell>
          <cell r="I18" t="str">
            <v>COSTO PARCIAL</v>
          </cell>
        </row>
        <row r="19">
          <cell r="D19">
            <v>0</v>
          </cell>
          <cell r="E19" t="str">
            <v>A- MATERIALES: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0">
          <cell r="D20">
            <v>1</v>
          </cell>
          <cell r="E20" t="str">
            <v>Arena Mediana</v>
          </cell>
          <cell r="F20" t="str">
            <v>m³</v>
          </cell>
          <cell r="G20">
            <v>133.05785123966942</v>
          </cell>
          <cell r="H20">
            <v>1</v>
          </cell>
          <cell r="I20">
            <v>133.05785123966942</v>
          </cell>
        </row>
        <row r="21">
          <cell r="D21">
            <v>2</v>
          </cell>
          <cell r="E21" t="str">
            <v>Cemento Normal</v>
          </cell>
          <cell r="F21" t="str">
            <v>kg</v>
          </cell>
          <cell r="G21">
            <v>1.5113471074380165</v>
          </cell>
          <cell r="H21">
            <v>50</v>
          </cell>
          <cell r="I21">
            <v>75.567355371900817</v>
          </cell>
        </row>
        <row r="22">
          <cell r="D22">
            <v>3</v>
          </cell>
          <cell r="E22" t="str">
            <v>Arena Fina</v>
          </cell>
          <cell r="F22" t="str">
            <v>m³</v>
          </cell>
          <cell r="G22">
            <v>209.09090909090907</v>
          </cell>
          <cell r="H22">
            <v>0.3</v>
          </cell>
          <cell r="I22">
            <v>62.72727272727272</v>
          </cell>
        </row>
        <row r="23">
          <cell r="D23">
            <v>4</v>
          </cell>
          <cell r="E23" t="str">
            <v>-</v>
          </cell>
          <cell r="F23" t="str">
            <v>-</v>
          </cell>
          <cell r="G23">
            <v>0</v>
          </cell>
          <cell r="H23">
            <v>0</v>
          </cell>
          <cell r="I23">
            <v>0</v>
          </cell>
        </row>
        <row r="24">
          <cell r="D24">
            <v>5</v>
          </cell>
          <cell r="E24" t="str">
            <v>-</v>
          </cell>
          <cell r="F24" t="str">
            <v>-</v>
          </cell>
          <cell r="G24">
            <v>0</v>
          </cell>
          <cell r="H24">
            <v>0</v>
          </cell>
          <cell r="I24">
            <v>0</v>
          </cell>
        </row>
        <row r="25">
          <cell r="D25">
            <v>6</v>
          </cell>
          <cell r="E25" t="str">
            <v>-</v>
          </cell>
          <cell r="F25" t="str">
            <v>-</v>
          </cell>
          <cell r="G25">
            <v>0</v>
          </cell>
          <cell r="H25">
            <v>0</v>
          </cell>
          <cell r="I25">
            <v>0</v>
          </cell>
        </row>
        <row r="26">
          <cell r="D26">
            <v>7</v>
          </cell>
          <cell r="E26" t="str">
            <v>-</v>
          </cell>
          <cell r="F26" t="str">
            <v>-</v>
          </cell>
          <cell r="G26">
            <v>0</v>
          </cell>
          <cell r="H26">
            <v>0</v>
          </cell>
          <cell r="I26">
            <v>0</v>
          </cell>
        </row>
        <row r="27">
          <cell r="D27">
            <v>8</v>
          </cell>
          <cell r="E27" t="str">
            <v>-</v>
          </cell>
          <cell r="F27" t="str">
            <v>-</v>
          </cell>
          <cell r="G27">
            <v>0</v>
          </cell>
          <cell r="H27">
            <v>0</v>
          </cell>
          <cell r="I27">
            <v>0</v>
          </cell>
        </row>
        <row r="28">
          <cell r="D28">
            <v>9</v>
          </cell>
          <cell r="E28" t="str">
            <v>-</v>
          </cell>
          <cell r="F28" t="str">
            <v>-</v>
          </cell>
          <cell r="G28">
            <v>0</v>
          </cell>
          <cell r="H28">
            <v>0</v>
          </cell>
          <cell r="I28">
            <v>0</v>
          </cell>
        </row>
        <row r="29">
          <cell r="D29">
            <v>10</v>
          </cell>
          <cell r="E29" t="str">
            <v>-</v>
          </cell>
          <cell r="F29" t="str">
            <v>-</v>
          </cell>
          <cell r="G29">
            <v>0</v>
          </cell>
          <cell r="H29">
            <v>0</v>
          </cell>
          <cell r="I29">
            <v>0</v>
          </cell>
        </row>
        <row r="30">
          <cell r="D30">
            <v>11</v>
          </cell>
          <cell r="E30" t="str">
            <v>-</v>
          </cell>
          <cell r="F30" t="str">
            <v>-</v>
          </cell>
          <cell r="G30">
            <v>0</v>
          </cell>
          <cell r="H30">
            <v>0</v>
          </cell>
          <cell r="I30">
            <v>0</v>
          </cell>
        </row>
        <row r="31">
          <cell r="D31">
            <v>12</v>
          </cell>
          <cell r="E31" t="str">
            <v>-</v>
          </cell>
          <cell r="F31" t="str">
            <v>-</v>
          </cell>
          <cell r="G31">
            <v>0</v>
          </cell>
          <cell r="H31">
            <v>0</v>
          </cell>
          <cell r="I31">
            <v>0</v>
          </cell>
        </row>
        <row r="32">
          <cell r="D32">
            <v>13</v>
          </cell>
          <cell r="E32" t="str">
            <v>-</v>
          </cell>
          <cell r="F32" t="str">
            <v>-</v>
          </cell>
          <cell r="G32">
            <v>0</v>
          </cell>
          <cell r="H32">
            <v>0</v>
          </cell>
          <cell r="I32">
            <v>0</v>
          </cell>
        </row>
        <row r="33">
          <cell r="D33">
            <v>14</v>
          </cell>
          <cell r="E33" t="str">
            <v>-</v>
          </cell>
          <cell r="F33" t="str">
            <v>-</v>
          </cell>
          <cell r="G33">
            <v>0</v>
          </cell>
          <cell r="H33">
            <v>0</v>
          </cell>
          <cell r="I33">
            <v>0</v>
          </cell>
        </row>
        <row r="34">
          <cell r="D34">
            <v>15</v>
          </cell>
          <cell r="E34" t="str">
            <v>-</v>
          </cell>
          <cell r="F34" t="str">
            <v>-</v>
          </cell>
          <cell r="G34">
            <v>0</v>
          </cell>
          <cell r="H34">
            <v>0</v>
          </cell>
          <cell r="I34">
            <v>0</v>
          </cell>
        </row>
        <row r="35">
          <cell r="D35">
            <v>16</v>
          </cell>
          <cell r="E35" t="str">
            <v>-</v>
          </cell>
          <cell r="F35" t="str">
            <v>-</v>
          </cell>
          <cell r="G35">
            <v>0</v>
          </cell>
          <cell r="H35">
            <v>0</v>
          </cell>
          <cell r="I35">
            <v>0</v>
          </cell>
        </row>
        <row r="36">
          <cell r="D36">
            <v>17</v>
          </cell>
          <cell r="E36" t="str">
            <v>-</v>
          </cell>
          <cell r="F36" t="str">
            <v>-</v>
          </cell>
          <cell r="G36">
            <v>0</v>
          </cell>
          <cell r="H36">
            <v>0</v>
          </cell>
          <cell r="I36">
            <v>0</v>
          </cell>
        </row>
        <row r="37">
          <cell r="D37">
            <v>18</v>
          </cell>
          <cell r="E37" t="str">
            <v>-</v>
          </cell>
          <cell r="F37" t="str">
            <v>-</v>
          </cell>
          <cell r="G37">
            <v>0</v>
          </cell>
          <cell r="H37">
            <v>0</v>
          </cell>
          <cell r="I37">
            <v>0</v>
          </cell>
        </row>
        <row r="38">
          <cell r="D38">
            <v>19</v>
          </cell>
          <cell r="E38" t="str">
            <v>-</v>
          </cell>
          <cell r="F38" t="str">
            <v>-</v>
          </cell>
          <cell r="G38">
            <v>0</v>
          </cell>
          <cell r="H38">
            <v>0</v>
          </cell>
          <cell r="I38">
            <v>0</v>
          </cell>
        </row>
        <row r="39">
          <cell r="D39">
            <v>20</v>
          </cell>
          <cell r="E39" t="str">
            <v>-</v>
          </cell>
          <cell r="F39" t="str">
            <v>-</v>
          </cell>
          <cell r="G39">
            <v>0</v>
          </cell>
          <cell r="H39">
            <v>0</v>
          </cell>
          <cell r="I39">
            <v>0</v>
          </cell>
        </row>
        <row r="40">
          <cell r="B40" t="str">
            <v>MA001</v>
          </cell>
          <cell r="D40">
            <v>0</v>
          </cell>
          <cell r="E40" t="str">
            <v>SUB TOTAL MATERIALES</v>
          </cell>
          <cell r="F40">
            <v>0</v>
          </cell>
          <cell r="G40">
            <v>0</v>
          </cell>
          <cell r="H40">
            <v>0</v>
          </cell>
          <cell r="I40">
            <v>271.35247933884295</v>
          </cell>
        </row>
        <row r="41">
          <cell r="D41">
            <v>0</v>
          </cell>
          <cell r="E41" t="str">
            <v>B- MANO DE OBRA: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</row>
        <row r="42">
          <cell r="D42">
            <v>1</v>
          </cell>
          <cell r="E42" t="str">
            <v>Oficial</v>
          </cell>
          <cell r="F42" t="str">
            <v>hs</v>
          </cell>
          <cell r="G42">
            <v>79.396129375000001</v>
          </cell>
          <cell r="H42">
            <v>10</v>
          </cell>
          <cell r="I42">
            <v>793.96129374999998</v>
          </cell>
        </row>
        <row r="43">
          <cell r="D43">
            <v>2</v>
          </cell>
          <cell r="E43" t="str">
            <v>Ayudante</v>
          </cell>
          <cell r="F43" t="str">
            <v>hs</v>
          </cell>
          <cell r="G43">
            <v>68.347731499999995</v>
          </cell>
          <cell r="H43">
            <v>6.5552827638471065</v>
          </cell>
          <cell r="I43">
            <v>448.0387062499999</v>
          </cell>
        </row>
        <row r="44">
          <cell r="D44">
            <v>3</v>
          </cell>
          <cell r="E44" t="str">
            <v>-</v>
          </cell>
          <cell r="F44" t="str">
            <v>hs</v>
          </cell>
          <cell r="G44">
            <v>0</v>
          </cell>
          <cell r="H44">
            <v>0</v>
          </cell>
          <cell r="I44">
            <v>0</v>
          </cell>
        </row>
        <row r="45">
          <cell r="D45">
            <v>4</v>
          </cell>
          <cell r="E45" t="str">
            <v>-</v>
          </cell>
          <cell r="F45" t="str">
            <v>hs</v>
          </cell>
          <cell r="G45">
            <v>0</v>
          </cell>
          <cell r="H45">
            <v>0</v>
          </cell>
          <cell r="I45">
            <v>0</v>
          </cell>
        </row>
        <row r="46">
          <cell r="D46">
            <v>5</v>
          </cell>
          <cell r="E46" t="str">
            <v>-</v>
          </cell>
          <cell r="F46" t="str">
            <v>hs</v>
          </cell>
          <cell r="G46">
            <v>0</v>
          </cell>
          <cell r="H46">
            <v>0</v>
          </cell>
          <cell r="I46">
            <v>0</v>
          </cell>
        </row>
        <row r="47">
          <cell r="B47" t="str">
            <v>MO001</v>
          </cell>
          <cell r="D47">
            <v>0</v>
          </cell>
          <cell r="E47" t="str">
            <v>SUB TOTAL MANO DE OBRA</v>
          </cell>
          <cell r="F47">
            <v>0</v>
          </cell>
          <cell r="G47">
            <v>0</v>
          </cell>
          <cell r="H47">
            <v>0</v>
          </cell>
          <cell r="I47">
            <v>1242</v>
          </cell>
        </row>
        <row r="48">
          <cell r="D48">
            <v>0</v>
          </cell>
          <cell r="E48" t="str">
            <v>C- EQUIPOS: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D49">
            <v>1</v>
          </cell>
          <cell r="E49" t="str">
            <v>Herramientas de Mano</v>
          </cell>
          <cell r="F49" t="str">
            <v>gl</v>
          </cell>
          <cell r="G49">
            <v>45.400574380165281</v>
          </cell>
          <cell r="H49">
            <v>1</v>
          </cell>
          <cell r="I49">
            <v>45.400574380165281</v>
          </cell>
        </row>
        <row r="50">
          <cell r="D50">
            <v>2</v>
          </cell>
          <cell r="E50" t="str">
            <v>Martillo demoledor</v>
          </cell>
          <cell r="F50" t="str">
            <v>hs</v>
          </cell>
          <cell r="G50">
            <v>359.37499999999937</v>
          </cell>
          <cell r="H50">
            <v>0.15</v>
          </cell>
          <cell r="I50">
            <v>53.906249999999908</v>
          </cell>
        </row>
        <row r="51">
          <cell r="D51">
            <v>3</v>
          </cell>
          <cell r="E51" t="str">
            <v>-</v>
          </cell>
          <cell r="F51" t="str">
            <v>-</v>
          </cell>
          <cell r="G51">
            <v>0</v>
          </cell>
          <cell r="H51">
            <v>0</v>
          </cell>
          <cell r="I51">
            <v>0</v>
          </cell>
        </row>
        <row r="52">
          <cell r="D52">
            <v>4</v>
          </cell>
          <cell r="E52" t="str">
            <v>-</v>
          </cell>
          <cell r="F52" t="str">
            <v>-</v>
          </cell>
          <cell r="G52">
            <v>0</v>
          </cell>
          <cell r="H52">
            <v>0</v>
          </cell>
          <cell r="I52">
            <v>0</v>
          </cell>
        </row>
        <row r="53">
          <cell r="D53">
            <v>5</v>
          </cell>
          <cell r="E53" t="str">
            <v>-</v>
          </cell>
          <cell r="F53" t="str">
            <v>-</v>
          </cell>
          <cell r="G53">
            <v>0</v>
          </cell>
          <cell r="H53">
            <v>0</v>
          </cell>
          <cell r="I53">
            <v>0</v>
          </cell>
        </row>
        <row r="54">
          <cell r="B54" t="str">
            <v>E001</v>
          </cell>
          <cell r="D54">
            <v>0</v>
          </cell>
          <cell r="E54" t="str">
            <v>SUB TOTAL EQUIPOS</v>
          </cell>
          <cell r="F54">
            <v>0</v>
          </cell>
          <cell r="G54">
            <v>0</v>
          </cell>
          <cell r="H54">
            <v>0</v>
          </cell>
          <cell r="I54">
            <v>99.306824380165182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</row>
        <row r="56">
          <cell r="B56" t="str">
            <v>TR001</v>
          </cell>
          <cell r="C56">
            <v>1</v>
          </cell>
          <cell r="D56">
            <v>0</v>
          </cell>
          <cell r="E56" t="str">
            <v>COSTO (A+B+C+D)</v>
          </cell>
          <cell r="F56">
            <v>0</v>
          </cell>
          <cell r="G56">
            <v>0</v>
          </cell>
          <cell r="H56">
            <v>0</v>
          </cell>
          <cell r="I56">
            <v>1612.659303719008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0</v>
          </cell>
          <cell r="E59" t="str">
            <v>Rubro:</v>
          </cell>
          <cell r="F59" t="str">
            <v>01</v>
          </cell>
          <cell r="G59" t="str">
            <v>INSTALACIÓN REDES DE GAS</v>
          </cell>
          <cell r="H59" t="e">
            <v>#NAME?</v>
          </cell>
          <cell r="I59" t="e">
            <v>#NAME?</v>
          </cell>
        </row>
        <row r="60">
          <cell r="D60">
            <v>0</v>
          </cell>
          <cell r="E60" t="str">
            <v>Sub Rubro:</v>
          </cell>
          <cell r="F60" t="str">
            <v>01.02</v>
          </cell>
          <cell r="G60" t="str">
            <v>Excavación de zanjas y compactación de cañerías enterradas</v>
          </cell>
          <cell r="H60" t="e">
            <v>#NAME?</v>
          </cell>
          <cell r="I60" t="e">
            <v>#NAME?</v>
          </cell>
        </row>
        <row r="61">
          <cell r="D61">
            <v>0</v>
          </cell>
          <cell r="E61" t="str">
            <v>Ítem:</v>
          </cell>
          <cell r="F61" t="str">
            <v>01.02</v>
          </cell>
          <cell r="G61" t="str">
            <v>Excavación de zanjas y compactación de cañerías enterradas</v>
          </cell>
          <cell r="H61" t="e">
            <v>#NAME?</v>
          </cell>
          <cell r="I61" t="e">
            <v>#NAME?</v>
          </cell>
        </row>
        <row r="62">
          <cell r="D62">
            <v>0</v>
          </cell>
          <cell r="E62" t="str">
            <v>Unida:</v>
          </cell>
          <cell r="F62" t="str">
            <v>mts</v>
          </cell>
          <cell r="G62">
            <v>0</v>
          </cell>
          <cell r="H62">
            <v>0</v>
          </cell>
          <cell r="I62">
            <v>0</v>
          </cell>
        </row>
        <row r="63">
          <cell r="D63">
            <v>0</v>
          </cell>
          <cell r="E63" t="str">
            <v>DENOMINACION</v>
          </cell>
          <cell r="F63" t="str">
            <v>UNIDAD</v>
          </cell>
          <cell r="G63" t="str">
            <v>COSTO UNITARIO</v>
          </cell>
          <cell r="H63" t="str">
            <v>RENDIMIENTO POR UNIDAD</v>
          </cell>
          <cell r="I63" t="str">
            <v>COSTO PARCIAL</v>
          </cell>
        </row>
        <row r="64">
          <cell r="D64">
            <v>0</v>
          </cell>
          <cell r="E64" t="str">
            <v>A- MATERIALES: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D65">
            <v>1</v>
          </cell>
          <cell r="E65" t="str">
            <v>-</v>
          </cell>
          <cell r="F65" t="str">
            <v>-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2</v>
          </cell>
          <cell r="E66" t="str">
            <v>-</v>
          </cell>
          <cell r="F66" t="str">
            <v>-</v>
          </cell>
          <cell r="G66">
            <v>0</v>
          </cell>
          <cell r="H66">
            <v>0</v>
          </cell>
          <cell r="I66">
            <v>0</v>
          </cell>
        </row>
        <row r="67">
          <cell r="D67">
            <v>3</v>
          </cell>
          <cell r="E67" t="str">
            <v>-</v>
          </cell>
          <cell r="F67" t="str">
            <v>-</v>
          </cell>
          <cell r="G67">
            <v>0</v>
          </cell>
          <cell r="H67">
            <v>0</v>
          </cell>
          <cell r="I67">
            <v>0</v>
          </cell>
        </row>
        <row r="68">
          <cell r="D68">
            <v>4</v>
          </cell>
          <cell r="E68" t="str">
            <v>-</v>
          </cell>
          <cell r="F68" t="str">
            <v>-</v>
          </cell>
          <cell r="G68">
            <v>0</v>
          </cell>
          <cell r="H68">
            <v>0</v>
          </cell>
          <cell r="I68">
            <v>0</v>
          </cell>
        </row>
        <row r="69">
          <cell r="D69">
            <v>5</v>
          </cell>
          <cell r="E69" t="str">
            <v>-</v>
          </cell>
          <cell r="F69" t="str">
            <v>-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6</v>
          </cell>
          <cell r="E70" t="str">
            <v>-</v>
          </cell>
          <cell r="F70" t="str">
            <v>-</v>
          </cell>
          <cell r="G70">
            <v>0</v>
          </cell>
          <cell r="H70">
            <v>0</v>
          </cell>
          <cell r="I70">
            <v>0</v>
          </cell>
        </row>
        <row r="71">
          <cell r="D71">
            <v>7</v>
          </cell>
          <cell r="E71" t="str">
            <v>-</v>
          </cell>
          <cell r="F71" t="str">
            <v>-</v>
          </cell>
          <cell r="G71">
            <v>0</v>
          </cell>
          <cell r="H71">
            <v>0</v>
          </cell>
          <cell r="I71">
            <v>0</v>
          </cell>
        </row>
        <row r="72">
          <cell r="D72">
            <v>8</v>
          </cell>
          <cell r="E72" t="str">
            <v>-</v>
          </cell>
          <cell r="F72" t="str">
            <v>-</v>
          </cell>
          <cell r="G72">
            <v>0</v>
          </cell>
          <cell r="H72">
            <v>0</v>
          </cell>
          <cell r="I72">
            <v>0</v>
          </cell>
        </row>
        <row r="73">
          <cell r="D73">
            <v>9</v>
          </cell>
          <cell r="E73" t="str">
            <v>-</v>
          </cell>
          <cell r="F73" t="str">
            <v>-</v>
          </cell>
          <cell r="G73">
            <v>0</v>
          </cell>
          <cell r="H73">
            <v>0</v>
          </cell>
          <cell r="I73">
            <v>0</v>
          </cell>
        </row>
        <row r="74">
          <cell r="D74">
            <v>10</v>
          </cell>
          <cell r="E74" t="str">
            <v>-</v>
          </cell>
          <cell r="F74" t="str">
            <v>-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11</v>
          </cell>
          <cell r="E75" t="str">
            <v>-</v>
          </cell>
          <cell r="F75" t="str">
            <v>-</v>
          </cell>
          <cell r="G75">
            <v>0</v>
          </cell>
          <cell r="H75">
            <v>0</v>
          </cell>
          <cell r="I75">
            <v>0</v>
          </cell>
        </row>
        <row r="76">
          <cell r="D76">
            <v>12</v>
          </cell>
          <cell r="E76" t="str">
            <v>-</v>
          </cell>
          <cell r="F76" t="str">
            <v>-</v>
          </cell>
          <cell r="G76">
            <v>0</v>
          </cell>
          <cell r="H76">
            <v>0</v>
          </cell>
          <cell r="I76">
            <v>0</v>
          </cell>
        </row>
        <row r="77">
          <cell r="D77">
            <v>13</v>
          </cell>
          <cell r="E77" t="str">
            <v>-</v>
          </cell>
          <cell r="F77" t="str">
            <v>-</v>
          </cell>
          <cell r="G77">
            <v>0</v>
          </cell>
          <cell r="H77">
            <v>0</v>
          </cell>
          <cell r="I77">
            <v>0</v>
          </cell>
        </row>
        <row r="78">
          <cell r="D78">
            <v>14</v>
          </cell>
          <cell r="E78" t="str">
            <v>-</v>
          </cell>
          <cell r="F78" t="str">
            <v>-</v>
          </cell>
          <cell r="G78">
            <v>0</v>
          </cell>
          <cell r="H78">
            <v>0</v>
          </cell>
          <cell r="I78">
            <v>0</v>
          </cell>
        </row>
        <row r="79">
          <cell r="D79">
            <v>15</v>
          </cell>
          <cell r="E79" t="str">
            <v>-</v>
          </cell>
          <cell r="F79" t="str">
            <v>-</v>
          </cell>
          <cell r="G79">
            <v>0</v>
          </cell>
          <cell r="H79">
            <v>0</v>
          </cell>
          <cell r="I79">
            <v>0</v>
          </cell>
        </row>
        <row r="80">
          <cell r="D80">
            <v>16</v>
          </cell>
          <cell r="E80" t="str">
            <v>-</v>
          </cell>
          <cell r="F80" t="str">
            <v>-</v>
          </cell>
          <cell r="G80">
            <v>0</v>
          </cell>
          <cell r="H80">
            <v>0</v>
          </cell>
          <cell r="I80">
            <v>0</v>
          </cell>
        </row>
        <row r="81">
          <cell r="D81">
            <v>17</v>
          </cell>
          <cell r="E81" t="str">
            <v>-</v>
          </cell>
          <cell r="F81" t="str">
            <v>-</v>
          </cell>
          <cell r="G81">
            <v>0</v>
          </cell>
          <cell r="H81">
            <v>0</v>
          </cell>
          <cell r="I81">
            <v>0</v>
          </cell>
        </row>
        <row r="82">
          <cell r="D82">
            <v>18</v>
          </cell>
          <cell r="E82" t="str">
            <v>-</v>
          </cell>
          <cell r="F82" t="str">
            <v>-</v>
          </cell>
          <cell r="G82">
            <v>0</v>
          </cell>
          <cell r="H82">
            <v>0</v>
          </cell>
          <cell r="I82">
            <v>0</v>
          </cell>
        </row>
        <row r="83">
          <cell r="D83">
            <v>19</v>
          </cell>
          <cell r="E83" t="str">
            <v>-</v>
          </cell>
          <cell r="F83" t="str">
            <v>-</v>
          </cell>
          <cell r="G83">
            <v>0</v>
          </cell>
          <cell r="H83">
            <v>0</v>
          </cell>
          <cell r="I83">
            <v>0</v>
          </cell>
        </row>
        <row r="84">
          <cell r="D84">
            <v>20</v>
          </cell>
          <cell r="E84" t="str">
            <v>-</v>
          </cell>
          <cell r="F84" t="str">
            <v>-</v>
          </cell>
          <cell r="G84">
            <v>0</v>
          </cell>
          <cell r="H84">
            <v>0</v>
          </cell>
          <cell r="I84">
            <v>0</v>
          </cell>
        </row>
        <row r="85">
          <cell r="B85" t="str">
            <v>MA002</v>
          </cell>
          <cell r="D85">
            <v>0</v>
          </cell>
          <cell r="E85" t="str">
            <v>SUB TOTAL MATERIALES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</row>
        <row r="86">
          <cell r="D86">
            <v>0</v>
          </cell>
          <cell r="E86" t="str">
            <v>B- MANO DE OBRA: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</row>
        <row r="87">
          <cell r="D87">
            <v>1</v>
          </cell>
          <cell r="E87" t="str">
            <v>Oficial</v>
          </cell>
          <cell r="F87" t="str">
            <v>hs</v>
          </cell>
          <cell r="G87">
            <v>79.396129375000001</v>
          </cell>
          <cell r="H87">
            <v>0.2</v>
          </cell>
          <cell r="I87">
            <v>15.879225875000001</v>
          </cell>
        </row>
        <row r="88">
          <cell r="D88">
            <v>2</v>
          </cell>
          <cell r="E88" t="str">
            <v>Ayudante</v>
          </cell>
          <cell r="F88" t="str">
            <v>hs</v>
          </cell>
          <cell r="G88">
            <v>68.347731499999995</v>
          </cell>
          <cell r="H88">
            <v>0.82769058875055723</v>
          </cell>
          <cell r="I88">
            <v>56.570774125</v>
          </cell>
        </row>
        <row r="89">
          <cell r="D89">
            <v>3</v>
          </cell>
          <cell r="E89" t="str">
            <v>-</v>
          </cell>
          <cell r="F89" t="str">
            <v>hs</v>
          </cell>
          <cell r="G89">
            <v>0</v>
          </cell>
          <cell r="H89">
            <v>0</v>
          </cell>
          <cell r="I89">
            <v>0</v>
          </cell>
        </row>
        <row r="90">
          <cell r="D90">
            <v>4</v>
          </cell>
          <cell r="E90" t="str">
            <v>-</v>
          </cell>
          <cell r="F90" t="str">
            <v>hs</v>
          </cell>
          <cell r="G90">
            <v>0</v>
          </cell>
          <cell r="H90">
            <v>0</v>
          </cell>
          <cell r="I90">
            <v>0</v>
          </cell>
        </row>
        <row r="91">
          <cell r="D91">
            <v>5</v>
          </cell>
          <cell r="E91" t="str">
            <v>-</v>
          </cell>
          <cell r="F91" t="str">
            <v>hs</v>
          </cell>
          <cell r="G91">
            <v>0</v>
          </cell>
          <cell r="H91">
            <v>0</v>
          </cell>
          <cell r="I91">
            <v>0</v>
          </cell>
        </row>
        <row r="92">
          <cell r="B92" t="str">
            <v>MO002</v>
          </cell>
          <cell r="D92">
            <v>0</v>
          </cell>
          <cell r="E92" t="str">
            <v>SUB TOTAL MANO DE OBRA</v>
          </cell>
          <cell r="F92">
            <v>0</v>
          </cell>
          <cell r="G92">
            <v>0</v>
          </cell>
          <cell r="H92">
            <v>0</v>
          </cell>
          <cell r="I92">
            <v>72.45</v>
          </cell>
        </row>
        <row r="93">
          <cell r="D93">
            <v>0</v>
          </cell>
          <cell r="E93" t="str">
            <v>C- EQUIPOS: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1</v>
          </cell>
          <cell r="E94" t="str">
            <v>Herramientas de Mano</v>
          </cell>
          <cell r="F94" t="str">
            <v>gl</v>
          </cell>
          <cell r="G94">
            <v>2.1735000000000002</v>
          </cell>
          <cell r="H94">
            <v>1</v>
          </cell>
          <cell r="I94">
            <v>2.1735000000000002</v>
          </cell>
        </row>
        <row r="95">
          <cell r="D95">
            <v>2</v>
          </cell>
          <cell r="E95" t="str">
            <v>-</v>
          </cell>
          <cell r="F95" t="str">
            <v>-</v>
          </cell>
          <cell r="G95">
            <v>0</v>
          </cell>
          <cell r="H95">
            <v>0</v>
          </cell>
          <cell r="I95">
            <v>0</v>
          </cell>
        </row>
        <row r="96">
          <cell r="D96">
            <v>3</v>
          </cell>
          <cell r="E96" t="str">
            <v>-</v>
          </cell>
          <cell r="F96" t="str">
            <v>-</v>
          </cell>
          <cell r="G96">
            <v>0</v>
          </cell>
          <cell r="H96">
            <v>0</v>
          </cell>
          <cell r="I96">
            <v>0</v>
          </cell>
        </row>
        <row r="97">
          <cell r="D97">
            <v>4</v>
          </cell>
          <cell r="E97" t="str">
            <v>-</v>
          </cell>
          <cell r="F97" t="str">
            <v>-</v>
          </cell>
          <cell r="G97">
            <v>0</v>
          </cell>
          <cell r="H97">
            <v>0</v>
          </cell>
          <cell r="I97">
            <v>0</v>
          </cell>
        </row>
        <row r="98">
          <cell r="D98">
            <v>5</v>
          </cell>
          <cell r="E98" t="str">
            <v>-</v>
          </cell>
          <cell r="F98" t="str">
            <v>-</v>
          </cell>
          <cell r="G98">
            <v>0</v>
          </cell>
          <cell r="H98">
            <v>0</v>
          </cell>
          <cell r="I98">
            <v>0</v>
          </cell>
        </row>
        <row r="99">
          <cell r="B99" t="str">
            <v>E002</v>
          </cell>
          <cell r="D99">
            <v>0</v>
          </cell>
          <cell r="E99" t="str">
            <v>SUB TOTAL EQUIPOS</v>
          </cell>
          <cell r="F99">
            <v>0</v>
          </cell>
          <cell r="G99">
            <v>0</v>
          </cell>
          <cell r="H99">
            <v>0</v>
          </cell>
          <cell r="I99">
            <v>2.1735000000000002</v>
          </cell>
        </row>
        <row r="100">
          <cell r="D100">
            <v>0</v>
          </cell>
          <cell r="E100" t="str">
            <v>D- TRANSPORTE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B102" t="str">
            <v>TR002</v>
          </cell>
          <cell r="C102">
            <v>2</v>
          </cell>
          <cell r="D102">
            <v>0</v>
          </cell>
          <cell r="E102" t="str">
            <v>COSTO (A+B+C+D)</v>
          </cell>
          <cell r="F102">
            <v>0</v>
          </cell>
          <cell r="G102">
            <v>0</v>
          </cell>
          <cell r="H102">
            <v>0</v>
          </cell>
          <cell r="I102">
            <v>74.623500000000007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D105">
            <v>0</v>
          </cell>
          <cell r="E105" t="str">
            <v>Rubro:</v>
          </cell>
          <cell r="F105" t="str">
            <v>01</v>
          </cell>
          <cell r="G105" t="str">
            <v>INSTALACIÓN REDES DE GAS</v>
          </cell>
          <cell r="H105" t="e">
            <v>#NAME?</v>
          </cell>
          <cell r="I105" t="e">
            <v>#NAME?</v>
          </cell>
        </row>
        <row r="106">
          <cell r="D106">
            <v>0</v>
          </cell>
          <cell r="E106" t="str">
            <v>Sub Rubro:</v>
          </cell>
          <cell r="F106" t="str">
            <v>01.03</v>
          </cell>
          <cell r="G106" t="str">
            <v>Tendido de cañería Ø varios</v>
          </cell>
          <cell r="H106" t="e">
            <v>#NAME?</v>
          </cell>
          <cell r="I106" t="e">
            <v>#NAME?</v>
          </cell>
        </row>
        <row r="107">
          <cell r="D107">
            <v>0</v>
          </cell>
          <cell r="E107" t="str">
            <v>Ítem:</v>
          </cell>
          <cell r="F107" t="str">
            <v>01.03</v>
          </cell>
          <cell r="G107" t="str">
            <v>Tendido de cañería Ø varios</v>
          </cell>
          <cell r="H107" t="e">
            <v>#NAME?</v>
          </cell>
          <cell r="I107" t="e">
            <v>#NAME?</v>
          </cell>
        </row>
        <row r="108">
          <cell r="D108">
            <v>0</v>
          </cell>
          <cell r="E108" t="str">
            <v>Unida:</v>
          </cell>
          <cell r="F108" t="str">
            <v>mts</v>
          </cell>
          <cell r="G108">
            <v>0</v>
          </cell>
          <cell r="H108">
            <v>0</v>
          </cell>
          <cell r="I108">
            <v>0</v>
          </cell>
        </row>
        <row r="109">
          <cell r="D109">
            <v>0</v>
          </cell>
          <cell r="E109" t="str">
            <v>DENOMINACION</v>
          </cell>
          <cell r="F109" t="str">
            <v>UNIDAD</v>
          </cell>
          <cell r="G109" t="str">
            <v>COSTO UNITARIO</v>
          </cell>
          <cell r="H109" t="str">
            <v>RENDIMIENTO POR UNIDAD</v>
          </cell>
          <cell r="I109" t="str">
            <v>COSTO PARCIAL</v>
          </cell>
        </row>
        <row r="110">
          <cell r="D110">
            <v>0</v>
          </cell>
          <cell r="E110" t="str">
            <v>A- MATERIALES: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</row>
        <row r="111">
          <cell r="D111">
            <v>1</v>
          </cell>
          <cell r="E111" t="str">
            <v>Cañeria Ø Varios y Accesorios por Mts Res 221</v>
          </cell>
          <cell r="F111" t="str">
            <v>un</v>
          </cell>
          <cell r="G111">
            <v>126.49999999999999</v>
          </cell>
          <cell r="H111">
            <v>1</v>
          </cell>
          <cell r="I111">
            <v>126.49999999999999</v>
          </cell>
        </row>
        <row r="112">
          <cell r="D112">
            <v>2</v>
          </cell>
          <cell r="E112" t="str">
            <v>Tubo 1/2" x 6 mts.</v>
          </cell>
          <cell r="F112" t="str">
            <v>m</v>
          </cell>
          <cell r="G112">
            <v>31.279999999999998</v>
          </cell>
          <cell r="H112">
            <v>48</v>
          </cell>
          <cell r="I112">
            <v>0</v>
          </cell>
        </row>
        <row r="113">
          <cell r="D113">
            <v>3</v>
          </cell>
          <cell r="E113" t="str">
            <v>Tubo 3/4" x 6 mts.</v>
          </cell>
          <cell r="F113" t="str">
            <v>m</v>
          </cell>
          <cell r="G113">
            <v>39.291666666666664</v>
          </cell>
          <cell r="H113">
            <v>23</v>
          </cell>
          <cell r="I113">
            <v>0</v>
          </cell>
        </row>
        <row r="114">
          <cell r="D114">
            <v>4</v>
          </cell>
          <cell r="E114" t="str">
            <v>Tubo 1" x 6 mts.</v>
          </cell>
          <cell r="F114" t="str">
            <v>m</v>
          </cell>
          <cell r="G114">
            <v>58.458333333333329</v>
          </cell>
          <cell r="H114">
            <v>20</v>
          </cell>
          <cell r="I114">
            <v>0</v>
          </cell>
        </row>
        <row r="115">
          <cell r="D115">
            <v>5</v>
          </cell>
          <cell r="E115" t="str">
            <v>Tubo 1 1/4" x 6 mts.</v>
          </cell>
          <cell r="F115" t="str">
            <v>m</v>
          </cell>
          <cell r="G115">
            <v>76.283333333333317</v>
          </cell>
          <cell r="H115">
            <v>18</v>
          </cell>
          <cell r="I115">
            <v>0</v>
          </cell>
        </row>
        <row r="116">
          <cell r="D116">
            <v>6</v>
          </cell>
          <cell r="E116" t="str">
            <v>Tubo 1 1/2" x 6 mts.</v>
          </cell>
          <cell r="F116" t="str">
            <v>m</v>
          </cell>
          <cell r="G116">
            <v>87.974999999999994</v>
          </cell>
          <cell r="H116">
            <v>14</v>
          </cell>
          <cell r="I116">
            <v>0</v>
          </cell>
        </row>
        <row r="117">
          <cell r="D117">
            <v>7</v>
          </cell>
          <cell r="E117" t="str">
            <v>Codo HH 1/2"</v>
          </cell>
          <cell r="F117" t="str">
            <v>u</v>
          </cell>
          <cell r="G117">
            <v>12.649999999999999</v>
          </cell>
          <cell r="H117">
            <v>32</v>
          </cell>
          <cell r="I117">
            <v>0</v>
          </cell>
        </row>
        <row r="118">
          <cell r="D118">
            <v>8</v>
          </cell>
          <cell r="E118" t="str">
            <v>Codo HH 3/4"</v>
          </cell>
          <cell r="F118" t="str">
            <v>u</v>
          </cell>
          <cell r="G118">
            <v>16.099999999999998</v>
          </cell>
          <cell r="H118">
            <v>5</v>
          </cell>
          <cell r="I118">
            <v>0</v>
          </cell>
        </row>
        <row r="119">
          <cell r="D119">
            <v>9</v>
          </cell>
          <cell r="E119" t="str">
            <v>Codo HH 1"</v>
          </cell>
          <cell r="F119" t="str">
            <v>u</v>
          </cell>
          <cell r="G119">
            <v>27.599999999999998</v>
          </cell>
          <cell r="H119">
            <v>2</v>
          </cell>
          <cell r="I119">
            <v>0</v>
          </cell>
        </row>
        <row r="120">
          <cell r="D120">
            <v>10</v>
          </cell>
          <cell r="E120" t="str">
            <v>Codo HH 1 1/4"</v>
          </cell>
          <cell r="F120" t="str">
            <v>u</v>
          </cell>
          <cell r="G120">
            <v>36.799999999999997</v>
          </cell>
          <cell r="H120">
            <v>2</v>
          </cell>
          <cell r="I120">
            <v>0</v>
          </cell>
        </row>
        <row r="121">
          <cell r="D121">
            <v>11</v>
          </cell>
          <cell r="E121" t="str">
            <v>Codo HH 1 1/2"</v>
          </cell>
          <cell r="F121" t="str">
            <v>u</v>
          </cell>
          <cell r="G121">
            <v>48.3</v>
          </cell>
          <cell r="H121">
            <v>3</v>
          </cell>
          <cell r="I121">
            <v>0</v>
          </cell>
        </row>
        <row r="122">
          <cell r="D122">
            <v>12</v>
          </cell>
          <cell r="E122" t="str">
            <v>Cupla 1/2"</v>
          </cell>
          <cell r="F122" t="str">
            <v>u</v>
          </cell>
          <cell r="G122">
            <v>12.649999999999999</v>
          </cell>
          <cell r="H122">
            <v>75</v>
          </cell>
          <cell r="I122">
            <v>0</v>
          </cell>
        </row>
        <row r="123">
          <cell r="D123">
            <v>13</v>
          </cell>
          <cell r="E123" t="str">
            <v>Cupla 3/4"</v>
          </cell>
          <cell r="F123" t="str">
            <v>u</v>
          </cell>
          <cell r="G123">
            <v>13.799999999999999</v>
          </cell>
          <cell r="H123">
            <v>7</v>
          </cell>
          <cell r="I123">
            <v>0</v>
          </cell>
        </row>
        <row r="124">
          <cell r="D124">
            <v>14</v>
          </cell>
          <cell r="E124" t="str">
            <v>Cupla 1"</v>
          </cell>
          <cell r="F124" t="str">
            <v>u</v>
          </cell>
          <cell r="G124">
            <v>20.7</v>
          </cell>
          <cell r="H124">
            <v>5</v>
          </cell>
          <cell r="I124">
            <v>0</v>
          </cell>
        </row>
        <row r="125">
          <cell r="D125">
            <v>15</v>
          </cell>
          <cell r="E125" t="str">
            <v>Cupla 1 1/4"</v>
          </cell>
          <cell r="F125" t="str">
            <v>u</v>
          </cell>
          <cell r="G125">
            <v>33.349999999999994</v>
          </cell>
          <cell r="H125">
            <v>6</v>
          </cell>
          <cell r="I125">
            <v>0</v>
          </cell>
        </row>
        <row r="126">
          <cell r="D126">
            <v>16</v>
          </cell>
          <cell r="E126" t="str">
            <v>Cupla 1 1/4"</v>
          </cell>
          <cell r="F126" t="str">
            <v>u</v>
          </cell>
          <cell r="G126">
            <v>33.349999999999994</v>
          </cell>
          <cell r="H126">
            <v>3</v>
          </cell>
          <cell r="I126">
            <v>0</v>
          </cell>
        </row>
        <row r="127">
          <cell r="D127">
            <v>17</v>
          </cell>
          <cell r="E127" t="str">
            <v>Te 1/2"</v>
          </cell>
          <cell r="F127" t="str">
            <v>u</v>
          </cell>
          <cell r="G127">
            <v>16.099999999999998</v>
          </cell>
          <cell r="H127">
            <v>3</v>
          </cell>
          <cell r="I127">
            <v>0</v>
          </cell>
        </row>
        <row r="128">
          <cell r="D128">
            <v>18</v>
          </cell>
          <cell r="E128" t="str">
            <v>Te 3/4"</v>
          </cell>
          <cell r="F128" t="str">
            <v>u</v>
          </cell>
          <cell r="G128">
            <v>23</v>
          </cell>
          <cell r="H128">
            <v>4</v>
          </cell>
          <cell r="I128">
            <v>0</v>
          </cell>
        </row>
        <row r="129">
          <cell r="D129">
            <v>19</v>
          </cell>
          <cell r="E129" t="str">
            <v>Te 1"</v>
          </cell>
          <cell r="F129" t="str">
            <v>u</v>
          </cell>
          <cell r="G129">
            <v>34.5</v>
          </cell>
          <cell r="H129">
            <v>3</v>
          </cell>
          <cell r="I129">
            <v>0</v>
          </cell>
        </row>
        <row r="130">
          <cell r="D130">
            <v>20</v>
          </cell>
          <cell r="E130" t="str">
            <v>Te 1 1/4"</v>
          </cell>
          <cell r="F130" t="str">
            <v>u</v>
          </cell>
          <cell r="G130">
            <v>54.05</v>
          </cell>
          <cell r="H130">
            <v>4</v>
          </cell>
          <cell r="I130">
            <v>0</v>
          </cell>
        </row>
        <row r="131">
          <cell r="D131">
            <v>21</v>
          </cell>
          <cell r="E131" t="str">
            <v>Te 1 1/2"</v>
          </cell>
          <cell r="F131" t="str">
            <v>u</v>
          </cell>
          <cell r="G131">
            <v>71.3</v>
          </cell>
          <cell r="H131">
            <v>1</v>
          </cell>
          <cell r="I131">
            <v>0</v>
          </cell>
        </row>
        <row r="132">
          <cell r="D132">
            <v>22</v>
          </cell>
          <cell r="E132" t="str">
            <v>Llave 1/2" FV c/ campana</v>
          </cell>
          <cell r="F132" t="str">
            <v>u</v>
          </cell>
          <cell r="G132">
            <v>217.35</v>
          </cell>
          <cell r="H132">
            <v>12</v>
          </cell>
          <cell r="I132">
            <v>0</v>
          </cell>
        </row>
        <row r="133">
          <cell r="D133">
            <v>23</v>
          </cell>
          <cell r="E133" t="str">
            <v>Llave 1"  4 Bar</v>
          </cell>
          <cell r="F133" t="str">
            <v>u</v>
          </cell>
          <cell r="G133">
            <v>312.79999999999995</v>
          </cell>
          <cell r="H133">
            <v>2</v>
          </cell>
          <cell r="I133">
            <v>0</v>
          </cell>
        </row>
        <row r="134">
          <cell r="D134">
            <v>24</v>
          </cell>
          <cell r="E134" t="str">
            <v>Regulador Media presión 10 m3</v>
          </cell>
          <cell r="F134" t="str">
            <v>u</v>
          </cell>
          <cell r="G134">
            <v>652.04999999999995</v>
          </cell>
          <cell r="H134">
            <v>1</v>
          </cell>
          <cell r="I134">
            <v>0</v>
          </cell>
        </row>
        <row r="135">
          <cell r="D135">
            <v>25</v>
          </cell>
          <cell r="E135" t="str">
            <v>Poligual</v>
          </cell>
          <cell r="F135" t="str">
            <v>m</v>
          </cell>
          <cell r="G135">
            <v>66.699999999999989</v>
          </cell>
          <cell r="H135">
            <v>15</v>
          </cell>
          <cell r="I135">
            <v>0</v>
          </cell>
        </row>
        <row r="136">
          <cell r="D136">
            <v>26</v>
          </cell>
          <cell r="E136" t="str">
            <v>Pintura Epoxi</v>
          </cell>
          <cell r="F136" t="str">
            <v>l</v>
          </cell>
          <cell r="G136">
            <v>175.95</v>
          </cell>
          <cell r="H136">
            <v>4</v>
          </cell>
          <cell r="I136">
            <v>0</v>
          </cell>
        </row>
        <row r="137">
          <cell r="D137">
            <v>27</v>
          </cell>
          <cell r="E137" t="str">
            <v>Grampas Omega c/ tornillo</v>
          </cell>
          <cell r="F137" t="str">
            <v>u</v>
          </cell>
          <cell r="G137">
            <v>5.1749999999999998</v>
          </cell>
          <cell r="H137">
            <v>100</v>
          </cell>
          <cell r="I137">
            <v>0</v>
          </cell>
        </row>
        <row r="138">
          <cell r="D138">
            <v>28</v>
          </cell>
          <cell r="E138" t="str">
            <v>Picos / Perillas / Acc. Cocinas</v>
          </cell>
          <cell r="F138" t="str">
            <v>u</v>
          </cell>
          <cell r="G138">
            <v>60</v>
          </cell>
          <cell r="H138">
            <v>1</v>
          </cell>
          <cell r="I138">
            <v>0</v>
          </cell>
        </row>
        <row r="139">
          <cell r="D139">
            <v>29</v>
          </cell>
          <cell r="E139" t="str">
            <v>Accesorios conección</v>
          </cell>
          <cell r="F139" t="str">
            <v>u</v>
          </cell>
          <cell r="G139">
            <v>20</v>
          </cell>
          <cell r="H139">
            <v>14</v>
          </cell>
          <cell r="I139">
            <v>0</v>
          </cell>
        </row>
        <row r="140">
          <cell r="D140">
            <v>30</v>
          </cell>
          <cell r="E140" t="str">
            <v>Litargidio x 200g</v>
          </cell>
          <cell r="F140" t="str">
            <v>u</v>
          </cell>
          <cell r="G140">
            <v>25</v>
          </cell>
          <cell r="H140">
            <v>2</v>
          </cell>
          <cell r="I140">
            <v>0</v>
          </cell>
        </row>
        <row r="141">
          <cell r="B141" t="str">
            <v>MA003</v>
          </cell>
          <cell r="D141">
            <v>0</v>
          </cell>
          <cell r="E141" t="str">
            <v>SUB TOTAL MATERIALES</v>
          </cell>
          <cell r="F141">
            <v>0</v>
          </cell>
          <cell r="G141">
            <v>0</v>
          </cell>
          <cell r="H141">
            <v>0</v>
          </cell>
          <cell r="I141">
            <v>126.49999999999999</v>
          </cell>
        </row>
        <row r="142">
          <cell r="D142">
            <v>0</v>
          </cell>
          <cell r="E142" t="str">
            <v>B- MANO DE OBRA: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</row>
        <row r="143">
          <cell r="D143">
            <v>1</v>
          </cell>
          <cell r="E143" t="str">
            <v>Oficial</v>
          </cell>
          <cell r="F143" t="str">
            <v>hs</v>
          </cell>
          <cell r="G143">
            <v>79.396129375000001</v>
          </cell>
          <cell r="H143">
            <v>1</v>
          </cell>
          <cell r="I143">
            <v>79.396129375000001</v>
          </cell>
        </row>
        <row r="144">
          <cell r="D144">
            <v>2</v>
          </cell>
          <cell r="E144" t="str">
            <v>Ayudante</v>
          </cell>
          <cell r="F144" t="str">
            <v>hs</v>
          </cell>
          <cell r="G144">
            <v>68.347731499999995</v>
          </cell>
          <cell r="H144">
            <v>0.2012337545540922</v>
          </cell>
          <cell r="I144">
            <v>13.753870624999996</v>
          </cell>
        </row>
        <row r="145">
          <cell r="D145">
            <v>3</v>
          </cell>
          <cell r="E145" t="str">
            <v>-</v>
          </cell>
          <cell r="F145" t="str">
            <v>hs</v>
          </cell>
          <cell r="G145">
            <v>0</v>
          </cell>
          <cell r="H145">
            <v>0</v>
          </cell>
          <cell r="I145">
            <v>0</v>
          </cell>
        </row>
        <row r="146">
          <cell r="D146">
            <v>4</v>
          </cell>
          <cell r="E146" t="str">
            <v>-</v>
          </cell>
          <cell r="F146" t="str">
            <v>hs</v>
          </cell>
          <cell r="G146">
            <v>0</v>
          </cell>
          <cell r="H146">
            <v>0</v>
          </cell>
          <cell r="I146">
            <v>0</v>
          </cell>
        </row>
        <row r="147">
          <cell r="D147">
            <v>5</v>
          </cell>
          <cell r="E147" t="str">
            <v>-</v>
          </cell>
          <cell r="F147" t="str">
            <v>hs</v>
          </cell>
          <cell r="G147">
            <v>0</v>
          </cell>
          <cell r="H147">
            <v>0</v>
          </cell>
          <cell r="I147">
            <v>0</v>
          </cell>
        </row>
        <row r="148">
          <cell r="B148" t="str">
            <v>MO003</v>
          </cell>
          <cell r="D148">
            <v>0</v>
          </cell>
          <cell r="E148" t="str">
            <v>SUB TOTAL MANO DE OBRA</v>
          </cell>
          <cell r="F148">
            <v>0</v>
          </cell>
          <cell r="G148">
            <v>0</v>
          </cell>
          <cell r="H148">
            <v>0</v>
          </cell>
          <cell r="I148">
            <v>93.149999999999991</v>
          </cell>
        </row>
        <row r="149">
          <cell r="D149">
            <v>0</v>
          </cell>
          <cell r="E149" t="str">
            <v>C- EQUIPOS: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D150">
            <v>1</v>
          </cell>
          <cell r="E150" t="str">
            <v>Herramientas de Mano</v>
          </cell>
          <cell r="F150" t="str">
            <v>gl</v>
          </cell>
          <cell r="G150">
            <v>6.5894999999999992</v>
          </cell>
          <cell r="H150">
            <v>1</v>
          </cell>
          <cell r="I150">
            <v>6.5894999999999992</v>
          </cell>
        </row>
        <row r="151">
          <cell r="D151">
            <v>2</v>
          </cell>
          <cell r="E151" t="str">
            <v>-</v>
          </cell>
          <cell r="F151" t="str">
            <v>-</v>
          </cell>
          <cell r="G151">
            <v>0</v>
          </cell>
          <cell r="H151">
            <v>0</v>
          </cell>
          <cell r="I151">
            <v>0</v>
          </cell>
        </row>
        <row r="152">
          <cell r="D152">
            <v>3</v>
          </cell>
          <cell r="E152" t="str">
            <v>-</v>
          </cell>
          <cell r="F152" t="str">
            <v>-</v>
          </cell>
          <cell r="G152">
            <v>0</v>
          </cell>
          <cell r="H152">
            <v>0</v>
          </cell>
          <cell r="I152">
            <v>0</v>
          </cell>
        </row>
        <row r="153">
          <cell r="D153">
            <v>4</v>
          </cell>
          <cell r="E153" t="str">
            <v>-</v>
          </cell>
          <cell r="F153" t="str">
            <v>-</v>
          </cell>
          <cell r="G153">
            <v>0</v>
          </cell>
          <cell r="H153">
            <v>0</v>
          </cell>
          <cell r="I153">
            <v>0</v>
          </cell>
        </row>
        <row r="154">
          <cell r="D154">
            <v>5</v>
          </cell>
          <cell r="E154" t="str">
            <v>-</v>
          </cell>
          <cell r="F154" t="str">
            <v>-</v>
          </cell>
          <cell r="G154">
            <v>0</v>
          </cell>
          <cell r="H154">
            <v>0</v>
          </cell>
          <cell r="I154">
            <v>0</v>
          </cell>
        </row>
        <row r="155">
          <cell r="B155" t="str">
            <v>E003</v>
          </cell>
          <cell r="D155">
            <v>0</v>
          </cell>
          <cell r="E155" t="str">
            <v>SUB TOTAL EQUIPOS</v>
          </cell>
          <cell r="F155">
            <v>0</v>
          </cell>
          <cell r="G155">
            <v>0</v>
          </cell>
          <cell r="H155">
            <v>0</v>
          </cell>
          <cell r="I155">
            <v>6.5894999999999992</v>
          </cell>
        </row>
        <row r="156"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</row>
        <row r="157">
          <cell r="B157" t="str">
            <v>TR003</v>
          </cell>
          <cell r="C157">
            <v>3</v>
          </cell>
          <cell r="D157">
            <v>0</v>
          </cell>
          <cell r="E157" t="str">
            <v>COSTO (A+B+C+D)</v>
          </cell>
          <cell r="F157">
            <v>0</v>
          </cell>
          <cell r="G157">
            <v>0</v>
          </cell>
          <cell r="H157">
            <v>0</v>
          </cell>
          <cell r="I157">
            <v>226.23949999999996</v>
          </cell>
        </row>
        <row r="158"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</row>
        <row r="159"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</row>
        <row r="160">
          <cell r="D160">
            <v>0</v>
          </cell>
          <cell r="E160" t="str">
            <v>Rubro:</v>
          </cell>
          <cell r="F160" t="str">
            <v>01</v>
          </cell>
          <cell r="G160" t="str">
            <v>INSTALACIÓN REDES DE GAS</v>
          </cell>
          <cell r="H160" t="e">
            <v>#NAME?</v>
          </cell>
          <cell r="I160" t="e">
            <v>#NAME?</v>
          </cell>
        </row>
        <row r="161">
          <cell r="D161">
            <v>0</v>
          </cell>
          <cell r="E161" t="str">
            <v>Sub Rubro:</v>
          </cell>
          <cell r="F161" t="str">
            <v>01.04</v>
          </cell>
          <cell r="G161" t="str">
            <v>Provisión y colocación de rejillas pantallas según plano</v>
          </cell>
          <cell r="H161" t="e">
            <v>#NAME?</v>
          </cell>
          <cell r="I161" t="e">
            <v>#NAME?</v>
          </cell>
        </row>
        <row r="162">
          <cell r="D162">
            <v>0</v>
          </cell>
          <cell r="E162" t="str">
            <v>Ítem:</v>
          </cell>
          <cell r="F162" t="str">
            <v>01.04</v>
          </cell>
          <cell r="G162" t="str">
            <v>Provisión y colocación de rejillas pantallas según plano</v>
          </cell>
          <cell r="H162" t="e">
            <v>#NAME?</v>
          </cell>
          <cell r="I162" t="e">
            <v>#NAME?</v>
          </cell>
        </row>
        <row r="163">
          <cell r="D163">
            <v>0</v>
          </cell>
          <cell r="E163" t="str">
            <v>Unida:</v>
          </cell>
          <cell r="F163" t="str">
            <v>gl</v>
          </cell>
          <cell r="G163">
            <v>0</v>
          </cell>
          <cell r="H163">
            <v>0</v>
          </cell>
          <cell r="I163">
            <v>0</v>
          </cell>
        </row>
        <row r="164">
          <cell r="D164">
            <v>0</v>
          </cell>
          <cell r="E164" t="str">
            <v>DENOMINACION</v>
          </cell>
          <cell r="F164" t="str">
            <v>UNIDAD</v>
          </cell>
          <cell r="G164" t="str">
            <v>COSTO UNITARIO</v>
          </cell>
          <cell r="H164" t="str">
            <v>RENDIMIENTO POR UNIDAD</v>
          </cell>
          <cell r="I164" t="str">
            <v>COSTO PARCIAL</v>
          </cell>
        </row>
        <row r="165">
          <cell r="D165">
            <v>0</v>
          </cell>
          <cell r="E165" t="str">
            <v>A- MATERIALES: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D166">
            <v>1</v>
          </cell>
          <cell r="E166" t="str">
            <v>Rejilla Ventilación Aprob. 20x20  el par</v>
          </cell>
          <cell r="F166" t="str">
            <v>u</v>
          </cell>
          <cell r="G166">
            <v>52.9</v>
          </cell>
          <cell r="H166">
            <v>24</v>
          </cell>
          <cell r="I166">
            <v>1269.5999999999999</v>
          </cell>
        </row>
        <row r="167">
          <cell r="D167">
            <v>2</v>
          </cell>
          <cell r="E167" t="str">
            <v>Pantalla Infrarroja c/ Detector 3000 cal</v>
          </cell>
          <cell r="F167" t="str">
            <v>u</v>
          </cell>
          <cell r="G167">
            <v>523.25</v>
          </cell>
          <cell r="H167">
            <v>11</v>
          </cell>
          <cell r="I167">
            <v>5755.75</v>
          </cell>
        </row>
        <row r="168">
          <cell r="D168">
            <v>3</v>
          </cell>
          <cell r="E168" t="str">
            <v>-</v>
          </cell>
          <cell r="F168" t="str">
            <v>-</v>
          </cell>
          <cell r="G168">
            <v>0</v>
          </cell>
          <cell r="H168">
            <v>0</v>
          </cell>
          <cell r="I168">
            <v>0</v>
          </cell>
        </row>
        <row r="169">
          <cell r="D169">
            <v>4</v>
          </cell>
          <cell r="E169" t="str">
            <v>-</v>
          </cell>
          <cell r="F169" t="str">
            <v>-</v>
          </cell>
          <cell r="G169">
            <v>0</v>
          </cell>
          <cell r="H169">
            <v>0</v>
          </cell>
          <cell r="I169">
            <v>0</v>
          </cell>
        </row>
        <row r="170">
          <cell r="D170">
            <v>5</v>
          </cell>
          <cell r="E170" t="str">
            <v>-</v>
          </cell>
          <cell r="F170" t="str">
            <v>-</v>
          </cell>
          <cell r="G170">
            <v>0</v>
          </cell>
          <cell r="H170">
            <v>0</v>
          </cell>
          <cell r="I170">
            <v>0</v>
          </cell>
        </row>
        <row r="171">
          <cell r="D171">
            <v>6</v>
          </cell>
          <cell r="E171" t="str">
            <v>-</v>
          </cell>
          <cell r="F171" t="str">
            <v>-</v>
          </cell>
          <cell r="G171">
            <v>0</v>
          </cell>
          <cell r="H171">
            <v>0</v>
          </cell>
          <cell r="I171">
            <v>0</v>
          </cell>
        </row>
        <row r="172">
          <cell r="D172">
            <v>7</v>
          </cell>
          <cell r="E172" t="str">
            <v>-</v>
          </cell>
          <cell r="F172" t="str">
            <v>-</v>
          </cell>
          <cell r="G172">
            <v>0</v>
          </cell>
          <cell r="H172">
            <v>0</v>
          </cell>
          <cell r="I172">
            <v>0</v>
          </cell>
        </row>
        <row r="173">
          <cell r="D173">
            <v>8</v>
          </cell>
          <cell r="E173" t="str">
            <v>-</v>
          </cell>
          <cell r="F173" t="str">
            <v>-</v>
          </cell>
          <cell r="G173">
            <v>0</v>
          </cell>
          <cell r="H173">
            <v>0</v>
          </cell>
          <cell r="I173">
            <v>0</v>
          </cell>
        </row>
        <row r="174">
          <cell r="D174">
            <v>9</v>
          </cell>
          <cell r="E174" t="str">
            <v>-</v>
          </cell>
          <cell r="F174" t="str">
            <v>-</v>
          </cell>
          <cell r="G174">
            <v>0</v>
          </cell>
          <cell r="H174">
            <v>0</v>
          </cell>
          <cell r="I174">
            <v>0</v>
          </cell>
        </row>
        <row r="175">
          <cell r="D175">
            <v>10</v>
          </cell>
          <cell r="E175" t="str">
            <v>-</v>
          </cell>
          <cell r="F175" t="str">
            <v>-</v>
          </cell>
          <cell r="G175">
            <v>0</v>
          </cell>
          <cell r="H175">
            <v>0</v>
          </cell>
          <cell r="I175">
            <v>0</v>
          </cell>
        </row>
        <row r="176">
          <cell r="D176">
            <v>11</v>
          </cell>
          <cell r="E176" t="str">
            <v>-</v>
          </cell>
          <cell r="F176" t="str">
            <v>-</v>
          </cell>
          <cell r="G176">
            <v>0</v>
          </cell>
          <cell r="H176">
            <v>0</v>
          </cell>
          <cell r="I176">
            <v>0</v>
          </cell>
        </row>
        <row r="177">
          <cell r="D177">
            <v>12</v>
          </cell>
          <cell r="E177" t="str">
            <v>-</v>
          </cell>
          <cell r="F177" t="str">
            <v>-</v>
          </cell>
          <cell r="G177">
            <v>0</v>
          </cell>
          <cell r="H177">
            <v>0</v>
          </cell>
          <cell r="I177">
            <v>0</v>
          </cell>
        </row>
        <row r="178">
          <cell r="D178">
            <v>13</v>
          </cell>
          <cell r="E178" t="str">
            <v>-</v>
          </cell>
          <cell r="F178" t="str">
            <v>-</v>
          </cell>
          <cell r="G178">
            <v>0</v>
          </cell>
          <cell r="H178">
            <v>0</v>
          </cell>
          <cell r="I178">
            <v>0</v>
          </cell>
        </row>
        <row r="179">
          <cell r="D179">
            <v>14</v>
          </cell>
          <cell r="E179" t="str">
            <v>-</v>
          </cell>
          <cell r="F179" t="str">
            <v>-</v>
          </cell>
          <cell r="G179">
            <v>0</v>
          </cell>
          <cell r="H179">
            <v>0</v>
          </cell>
          <cell r="I179">
            <v>0</v>
          </cell>
        </row>
        <row r="180">
          <cell r="D180">
            <v>15</v>
          </cell>
          <cell r="E180" t="str">
            <v>-</v>
          </cell>
          <cell r="F180" t="str">
            <v>-</v>
          </cell>
          <cell r="G180">
            <v>0</v>
          </cell>
          <cell r="H180">
            <v>0</v>
          </cell>
          <cell r="I180">
            <v>0</v>
          </cell>
        </row>
        <row r="181">
          <cell r="D181">
            <v>16</v>
          </cell>
          <cell r="E181" t="str">
            <v>-</v>
          </cell>
          <cell r="F181" t="str">
            <v>-</v>
          </cell>
          <cell r="G181">
            <v>0</v>
          </cell>
          <cell r="H181">
            <v>0</v>
          </cell>
          <cell r="I181">
            <v>0</v>
          </cell>
        </row>
        <row r="182">
          <cell r="D182">
            <v>17</v>
          </cell>
          <cell r="E182" t="str">
            <v>-</v>
          </cell>
          <cell r="F182" t="str">
            <v>-</v>
          </cell>
          <cell r="G182">
            <v>0</v>
          </cell>
          <cell r="H182">
            <v>0</v>
          </cell>
          <cell r="I182">
            <v>0</v>
          </cell>
        </row>
        <row r="183">
          <cell r="D183">
            <v>18</v>
          </cell>
          <cell r="E183" t="str">
            <v>-</v>
          </cell>
          <cell r="F183" t="str">
            <v>-</v>
          </cell>
          <cell r="G183">
            <v>0</v>
          </cell>
          <cell r="H183">
            <v>0</v>
          </cell>
          <cell r="I183">
            <v>0</v>
          </cell>
        </row>
        <row r="184">
          <cell r="D184">
            <v>19</v>
          </cell>
          <cell r="E184" t="str">
            <v>-</v>
          </cell>
          <cell r="F184" t="str">
            <v>-</v>
          </cell>
          <cell r="G184">
            <v>0</v>
          </cell>
          <cell r="H184">
            <v>0</v>
          </cell>
          <cell r="I184">
            <v>0</v>
          </cell>
        </row>
        <row r="185">
          <cell r="D185">
            <v>20</v>
          </cell>
          <cell r="E185" t="str">
            <v>-</v>
          </cell>
          <cell r="F185" t="str">
            <v>-</v>
          </cell>
          <cell r="G185">
            <v>0</v>
          </cell>
          <cell r="H185">
            <v>0</v>
          </cell>
          <cell r="I185">
            <v>0</v>
          </cell>
        </row>
        <row r="186">
          <cell r="B186" t="str">
            <v>MA004</v>
          </cell>
          <cell r="D186">
            <v>0</v>
          </cell>
          <cell r="E186" t="str">
            <v>SUB TOTAL MATERIALES</v>
          </cell>
          <cell r="F186">
            <v>0</v>
          </cell>
          <cell r="G186">
            <v>0</v>
          </cell>
          <cell r="H186">
            <v>0</v>
          </cell>
          <cell r="I186">
            <v>7025.35</v>
          </cell>
        </row>
        <row r="187">
          <cell r="D187">
            <v>0</v>
          </cell>
          <cell r="E187" t="str">
            <v>B- MANO DE OBRA: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D188">
            <v>1</v>
          </cell>
          <cell r="E188" t="str">
            <v>Oficial</v>
          </cell>
          <cell r="F188" t="str">
            <v>hs</v>
          </cell>
          <cell r="G188">
            <v>79.396129375000001</v>
          </cell>
          <cell r="H188">
            <v>12</v>
          </cell>
          <cell r="I188">
            <v>952.75355250000007</v>
          </cell>
        </row>
        <row r="189">
          <cell r="D189">
            <v>2</v>
          </cell>
          <cell r="E189" t="str">
            <v>Ayudante</v>
          </cell>
          <cell r="F189" t="str">
            <v>hs</v>
          </cell>
          <cell r="G189">
            <v>68.347731499999995</v>
          </cell>
          <cell r="H189">
            <v>10.289243433046497</v>
          </cell>
          <cell r="I189">
            <v>703.24644750000016</v>
          </cell>
        </row>
        <row r="190">
          <cell r="D190">
            <v>3</v>
          </cell>
          <cell r="E190" t="str">
            <v>-</v>
          </cell>
          <cell r="F190" t="str">
            <v>hs</v>
          </cell>
          <cell r="G190">
            <v>0</v>
          </cell>
          <cell r="H190">
            <v>0</v>
          </cell>
          <cell r="I190">
            <v>0</v>
          </cell>
        </row>
        <row r="191">
          <cell r="D191">
            <v>4</v>
          </cell>
          <cell r="E191" t="str">
            <v>-</v>
          </cell>
          <cell r="F191" t="str">
            <v>hs</v>
          </cell>
          <cell r="G191">
            <v>0</v>
          </cell>
          <cell r="H191">
            <v>0</v>
          </cell>
          <cell r="I191">
            <v>0</v>
          </cell>
        </row>
        <row r="192">
          <cell r="D192">
            <v>5</v>
          </cell>
          <cell r="E192" t="str">
            <v>-</v>
          </cell>
          <cell r="F192" t="str">
            <v>hs</v>
          </cell>
          <cell r="G192">
            <v>0</v>
          </cell>
          <cell r="H192">
            <v>0</v>
          </cell>
          <cell r="I192">
            <v>0</v>
          </cell>
        </row>
        <row r="193">
          <cell r="B193" t="str">
            <v>MO004</v>
          </cell>
          <cell r="D193">
            <v>0</v>
          </cell>
          <cell r="E193" t="str">
            <v>SUB TOTAL MANO DE OBRA</v>
          </cell>
          <cell r="F193">
            <v>0</v>
          </cell>
          <cell r="G193">
            <v>0</v>
          </cell>
          <cell r="H193">
            <v>0</v>
          </cell>
          <cell r="I193">
            <v>1656.0000000000002</v>
          </cell>
        </row>
        <row r="194">
          <cell r="D194">
            <v>0</v>
          </cell>
          <cell r="E194" t="str">
            <v>C- EQUIPOS: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D195">
            <v>1</v>
          </cell>
          <cell r="E195" t="str">
            <v>Herramientas de Mano</v>
          </cell>
          <cell r="F195" t="str">
            <v>gl</v>
          </cell>
          <cell r="G195">
            <v>260.44049999999999</v>
          </cell>
          <cell r="H195">
            <v>1</v>
          </cell>
          <cell r="I195">
            <v>260.44049999999999</v>
          </cell>
        </row>
        <row r="196">
          <cell r="D196">
            <v>2</v>
          </cell>
          <cell r="E196" t="str">
            <v>-</v>
          </cell>
          <cell r="F196" t="str">
            <v>-</v>
          </cell>
          <cell r="G196">
            <v>0</v>
          </cell>
          <cell r="H196">
            <v>0</v>
          </cell>
          <cell r="I196">
            <v>0</v>
          </cell>
        </row>
        <row r="197">
          <cell r="D197">
            <v>3</v>
          </cell>
          <cell r="E197" t="str">
            <v>-</v>
          </cell>
          <cell r="F197" t="str">
            <v>-</v>
          </cell>
          <cell r="G197">
            <v>0</v>
          </cell>
          <cell r="H197">
            <v>0</v>
          </cell>
          <cell r="I197">
            <v>0</v>
          </cell>
        </row>
        <row r="198">
          <cell r="D198">
            <v>4</v>
          </cell>
          <cell r="E198" t="str">
            <v>-</v>
          </cell>
          <cell r="F198" t="str">
            <v>-</v>
          </cell>
          <cell r="G198">
            <v>0</v>
          </cell>
          <cell r="H198">
            <v>0</v>
          </cell>
          <cell r="I198">
            <v>0</v>
          </cell>
        </row>
        <row r="199">
          <cell r="D199">
            <v>5</v>
          </cell>
          <cell r="E199" t="str">
            <v>-</v>
          </cell>
          <cell r="F199" t="str">
            <v>-</v>
          </cell>
          <cell r="G199">
            <v>0</v>
          </cell>
          <cell r="H199">
            <v>0</v>
          </cell>
          <cell r="I199">
            <v>0</v>
          </cell>
        </row>
        <row r="200">
          <cell r="B200" t="str">
            <v>E004</v>
          </cell>
          <cell r="D200">
            <v>0</v>
          </cell>
          <cell r="E200" t="str">
            <v>SUB TOTAL EQUIPOS</v>
          </cell>
          <cell r="F200">
            <v>0</v>
          </cell>
          <cell r="G200">
            <v>0</v>
          </cell>
          <cell r="H200">
            <v>0</v>
          </cell>
          <cell r="I200">
            <v>260.44049999999999</v>
          </cell>
        </row>
        <row r="201"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B202" t="str">
            <v>TR004</v>
          </cell>
          <cell r="C202">
            <v>4</v>
          </cell>
          <cell r="D202">
            <v>0</v>
          </cell>
          <cell r="E202" t="str">
            <v>COSTO (A+B+C+D)</v>
          </cell>
          <cell r="F202">
            <v>0</v>
          </cell>
          <cell r="G202">
            <v>0</v>
          </cell>
          <cell r="H202">
            <v>0</v>
          </cell>
          <cell r="I202">
            <v>8941.790500000001</v>
          </cell>
        </row>
        <row r="203"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</row>
        <row r="204"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</row>
        <row r="205">
          <cell r="D205">
            <v>0</v>
          </cell>
          <cell r="E205" t="str">
            <v>Rubro:</v>
          </cell>
          <cell r="F205" t="str">
            <v>01</v>
          </cell>
          <cell r="G205" t="str">
            <v>INSTALACIÓN REDES DE GAS</v>
          </cell>
          <cell r="H205" t="e">
            <v>#NAME?</v>
          </cell>
          <cell r="I205" t="e">
            <v>#NAME?</v>
          </cell>
        </row>
        <row r="206">
          <cell r="D206">
            <v>0</v>
          </cell>
          <cell r="E206" t="str">
            <v>Sub Rubro:</v>
          </cell>
          <cell r="F206" t="str">
            <v>01.05</v>
          </cell>
          <cell r="G206" t="str">
            <v>Prueba de hermeticidad</v>
          </cell>
          <cell r="H206" t="e">
            <v>#NAME?</v>
          </cell>
          <cell r="I206" t="e">
            <v>#NAME?</v>
          </cell>
        </row>
        <row r="207">
          <cell r="D207">
            <v>0</v>
          </cell>
          <cell r="E207" t="str">
            <v>Ítem:</v>
          </cell>
          <cell r="F207" t="str">
            <v>01.05</v>
          </cell>
          <cell r="G207" t="str">
            <v>Prueba de hermeticidad</v>
          </cell>
          <cell r="H207" t="e">
            <v>#NAME?</v>
          </cell>
          <cell r="I207" t="e">
            <v>#NAME?</v>
          </cell>
        </row>
        <row r="208">
          <cell r="D208">
            <v>0</v>
          </cell>
          <cell r="E208" t="str">
            <v>Unida:</v>
          </cell>
          <cell r="F208" t="str">
            <v>gl</v>
          </cell>
          <cell r="G208">
            <v>0</v>
          </cell>
          <cell r="H208">
            <v>0</v>
          </cell>
          <cell r="I208">
            <v>0</v>
          </cell>
        </row>
        <row r="209">
          <cell r="D209">
            <v>0</v>
          </cell>
          <cell r="E209" t="str">
            <v>DENOMINACION</v>
          </cell>
          <cell r="F209" t="str">
            <v>UNIDAD</v>
          </cell>
          <cell r="G209" t="str">
            <v>COSTO UNITARIO</v>
          </cell>
          <cell r="H209" t="str">
            <v>RENDIMIENTO POR UNIDAD</v>
          </cell>
          <cell r="I209" t="str">
            <v>COSTO PARCIAL</v>
          </cell>
        </row>
        <row r="210">
          <cell r="D210">
            <v>0</v>
          </cell>
          <cell r="E210" t="str">
            <v>A- MATERIALES: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</row>
        <row r="211">
          <cell r="D211">
            <v>1</v>
          </cell>
          <cell r="E211" t="str">
            <v>Accesorios</v>
          </cell>
          <cell r="F211" t="str">
            <v>gl</v>
          </cell>
          <cell r="G211">
            <v>287.5</v>
          </cell>
          <cell r="H211">
            <v>1</v>
          </cell>
          <cell r="I211">
            <v>287.5</v>
          </cell>
        </row>
        <row r="212">
          <cell r="D212">
            <v>2</v>
          </cell>
          <cell r="E212" t="str">
            <v>-</v>
          </cell>
          <cell r="F212" t="str">
            <v>-</v>
          </cell>
          <cell r="G212">
            <v>0</v>
          </cell>
          <cell r="H212">
            <v>0</v>
          </cell>
          <cell r="I212">
            <v>0</v>
          </cell>
        </row>
        <row r="213">
          <cell r="D213">
            <v>3</v>
          </cell>
          <cell r="E213" t="str">
            <v>-</v>
          </cell>
          <cell r="F213" t="str">
            <v>-</v>
          </cell>
          <cell r="G213">
            <v>0</v>
          </cell>
          <cell r="H213">
            <v>0</v>
          </cell>
          <cell r="I213">
            <v>0</v>
          </cell>
        </row>
        <row r="214">
          <cell r="D214">
            <v>4</v>
          </cell>
          <cell r="E214" t="str">
            <v>-</v>
          </cell>
          <cell r="F214" t="str">
            <v>-</v>
          </cell>
          <cell r="G214">
            <v>0</v>
          </cell>
          <cell r="H214">
            <v>0</v>
          </cell>
          <cell r="I214">
            <v>0</v>
          </cell>
        </row>
        <row r="215">
          <cell r="D215">
            <v>5</v>
          </cell>
          <cell r="E215" t="str">
            <v>-</v>
          </cell>
          <cell r="F215" t="str">
            <v>-</v>
          </cell>
          <cell r="G215">
            <v>0</v>
          </cell>
          <cell r="H215">
            <v>0</v>
          </cell>
          <cell r="I215">
            <v>0</v>
          </cell>
        </row>
        <row r="216">
          <cell r="D216">
            <v>6</v>
          </cell>
          <cell r="E216" t="str">
            <v>-</v>
          </cell>
          <cell r="F216" t="str">
            <v>-</v>
          </cell>
          <cell r="G216">
            <v>0</v>
          </cell>
          <cell r="H216">
            <v>0</v>
          </cell>
          <cell r="I216">
            <v>0</v>
          </cell>
        </row>
        <row r="217">
          <cell r="D217">
            <v>7</v>
          </cell>
          <cell r="E217" t="str">
            <v>-</v>
          </cell>
          <cell r="F217" t="str">
            <v>-</v>
          </cell>
          <cell r="G217">
            <v>0</v>
          </cell>
          <cell r="H217">
            <v>0</v>
          </cell>
          <cell r="I217">
            <v>0</v>
          </cell>
        </row>
        <row r="218">
          <cell r="D218">
            <v>8</v>
          </cell>
          <cell r="E218" t="str">
            <v>-</v>
          </cell>
          <cell r="F218" t="str">
            <v>-</v>
          </cell>
          <cell r="G218">
            <v>0</v>
          </cell>
          <cell r="H218">
            <v>0</v>
          </cell>
          <cell r="I218">
            <v>0</v>
          </cell>
        </row>
        <row r="219">
          <cell r="D219">
            <v>9</v>
          </cell>
          <cell r="E219" t="str">
            <v>-</v>
          </cell>
          <cell r="F219" t="str">
            <v>-</v>
          </cell>
          <cell r="G219">
            <v>0</v>
          </cell>
          <cell r="H219">
            <v>0</v>
          </cell>
          <cell r="I219">
            <v>0</v>
          </cell>
        </row>
        <row r="220">
          <cell r="D220">
            <v>10</v>
          </cell>
          <cell r="E220" t="str">
            <v>-</v>
          </cell>
          <cell r="F220" t="str">
            <v>-</v>
          </cell>
          <cell r="G220">
            <v>0</v>
          </cell>
          <cell r="H220">
            <v>0</v>
          </cell>
          <cell r="I220">
            <v>0</v>
          </cell>
        </row>
        <row r="221">
          <cell r="D221">
            <v>11</v>
          </cell>
          <cell r="E221" t="str">
            <v>-</v>
          </cell>
          <cell r="F221" t="str">
            <v>-</v>
          </cell>
          <cell r="G221">
            <v>0</v>
          </cell>
          <cell r="H221">
            <v>0</v>
          </cell>
          <cell r="I221">
            <v>0</v>
          </cell>
        </row>
        <row r="222">
          <cell r="D222">
            <v>12</v>
          </cell>
          <cell r="E222" t="str">
            <v>-</v>
          </cell>
          <cell r="F222" t="str">
            <v>-</v>
          </cell>
          <cell r="G222">
            <v>0</v>
          </cell>
          <cell r="H222">
            <v>0</v>
          </cell>
          <cell r="I222">
            <v>0</v>
          </cell>
        </row>
        <row r="223">
          <cell r="D223">
            <v>13</v>
          </cell>
          <cell r="E223" t="str">
            <v>-</v>
          </cell>
          <cell r="F223" t="str">
            <v>-</v>
          </cell>
          <cell r="G223">
            <v>0</v>
          </cell>
          <cell r="H223">
            <v>0</v>
          </cell>
          <cell r="I223">
            <v>0</v>
          </cell>
        </row>
        <row r="224">
          <cell r="D224">
            <v>14</v>
          </cell>
          <cell r="E224" t="str">
            <v>-</v>
          </cell>
          <cell r="F224" t="str">
            <v>-</v>
          </cell>
          <cell r="G224">
            <v>0</v>
          </cell>
          <cell r="H224">
            <v>0</v>
          </cell>
          <cell r="I224">
            <v>0</v>
          </cell>
        </row>
        <row r="225">
          <cell r="D225">
            <v>15</v>
          </cell>
          <cell r="E225" t="str">
            <v>-</v>
          </cell>
          <cell r="F225" t="str">
            <v>-</v>
          </cell>
          <cell r="G225">
            <v>0</v>
          </cell>
          <cell r="H225">
            <v>0</v>
          </cell>
          <cell r="I225">
            <v>0</v>
          </cell>
        </row>
        <row r="226">
          <cell r="D226">
            <v>16</v>
          </cell>
          <cell r="E226" t="str">
            <v>-</v>
          </cell>
          <cell r="F226" t="str">
            <v>-</v>
          </cell>
          <cell r="G226">
            <v>0</v>
          </cell>
          <cell r="H226">
            <v>0</v>
          </cell>
          <cell r="I226">
            <v>0</v>
          </cell>
        </row>
        <row r="227">
          <cell r="D227">
            <v>17</v>
          </cell>
          <cell r="E227" t="str">
            <v>-</v>
          </cell>
          <cell r="F227" t="str">
            <v>-</v>
          </cell>
          <cell r="G227">
            <v>0</v>
          </cell>
          <cell r="H227">
            <v>0</v>
          </cell>
          <cell r="I227">
            <v>0</v>
          </cell>
        </row>
        <row r="228">
          <cell r="D228">
            <v>18</v>
          </cell>
          <cell r="E228" t="str">
            <v>-</v>
          </cell>
          <cell r="F228" t="str">
            <v>-</v>
          </cell>
          <cell r="G228">
            <v>0</v>
          </cell>
          <cell r="H228">
            <v>0</v>
          </cell>
          <cell r="I228">
            <v>0</v>
          </cell>
        </row>
        <row r="229">
          <cell r="D229">
            <v>19</v>
          </cell>
          <cell r="E229" t="str">
            <v>-</v>
          </cell>
          <cell r="F229" t="str">
            <v>-</v>
          </cell>
          <cell r="G229">
            <v>0</v>
          </cell>
          <cell r="H229">
            <v>0</v>
          </cell>
          <cell r="I229">
            <v>0</v>
          </cell>
        </row>
        <row r="230">
          <cell r="D230">
            <v>20</v>
          </cell>
          <cell r="E230" t="str">
            <v>-</v>
          </cell>
          <cell r="F230" t="str">
            <v>-</v>
          </cell>
          <cell r="G230">
            <v>0</v>
          </cell>
          <cell r="H230">
            <v>0</v>
          </cell>
          <cell r="I230">
            <v>0</v>
          </cell>
        </row>
        <row r="231">
          <cell r="B231" t="str">
            <v>MA005</v>
          </cell>
          <cell r="D231">
            <v>0</v>
          </cell>
          <cell r="E231" t="str">
            <v>SUB TOTAL MATERIALES</v>
          </cell>
          <cell r="F231">
            <v>0</v>
          </cell>
          <cell r="G231">
            <v>0</v>
          </cell>
          <cell r="H231">
            <v>0</v>
          </cell>
          <cell r="I231">
            <v>287.5</v>
          </cell>
        </row>
        <row r="232">
          <cell r="D232">
            <v>0</v>
          </cell>
          <cell r="E232" t="str">
            <v>B- MANO DE OBRA: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</row>
        <row r="233">
          <cell r="D233">
            <v>1</v>
          </cell>
          <cell r="E233" t="str">
            <v>Oficial</v>
          </cell>
          <cell r="F233" t="str">
            <v>hs</v>
          </cell>
          <cell r="G233">
            <v>79.396129375000001</v>
          </cell>
          <cell r="H233">
            <v>4.7856400147088394</v>
          </cell>
          <cell r="I233">
            <v>379.96129374999992</v>
          </cell>
        </row>
        <row r="234">
          <cell r="D234">
            <v>2</v>
          </cell>
          <cell r="E234" t="str">
            <v>Ayudante</v>
          </cell>
          <cell r="F234" t="str">
            <v>hs</v>
          </cell>
          <cell r="G234">
            <v>68.347731499999995</v>
          </cell>
          <cell r="H234">
            <v>0.49802247277219469</v>
          </cell>
          <cell r="I234">
            <v>34.038706250000018</v>
          </cell>
        </row>
        <row r="235">
          <cell r="D235">
            <v>3</v>
          </cell>
          <cell r="E235" t="str">
            <v>-</v>
          </cell>
          <cell r="F235" t="str">
            <v>hs</v>
          </cell>
          <cell r="G235">
            <v>0</v>
          </cell>
          <cell r="H235">
            <v>0</v>
          </cell>
          <cell r="I235">
            <v>0</v>
          </cell>
        </row>
        <row r="236">
          <cell r="D236">
            <v>4</v>
          </cell>
          <cell r="E236" t="str">
            <v>-</v>
          </cell>
          <cell r="F236" t="str">
            <v>hs</v>
          </cell>
          <cell r="G236">
            <v>0</v>
          </cell>
          <cell r="H236">
            <v>0</v>
          </cell>
          <cell r="I236">
            <v>0</v>
          </cell>
        </row>
        <row r="237">
          <cell r="D237">
            <v>5</v>
          </cell>
          <cell r="E237" t="str">
            <v>-</v>
          </cell>
          <cell r="F237" t="str">
            <v>hs</v>
          </cell>
          <cell r="G237">
            <v>0</v>
          </cell>
          <cell r="H237">
            <v>0</v>
          </cell>
          <cell r="I237">
            <v>0</v>
          </cell>
        </row>
        <row r="238">
          <cell r="B238" t="str">
            <v>MO005</v>
          </cell>
          <cell r="D238">
            <v>0</v>
          </cell>
          <cell r="E238" t="str">
            <v>SUB TOTAL MANO DE OBRA</v>
          </cell>
          <cell r="F238">
            <v>0</v>
          </cell>
          <cell r="G238">
            <v>0</v>
          </cell>
          <cell r="H238">
            <v>0</v>
          </cell>
          <cell r="I238">
            <v>413.99999999999994</v>
          </cell>
        </row>
        <row r="239">
          <cell r="D239">
            <v>0</v>
          </cell>
          <cell r="E239" t="str">
            <v>C- EQUIPOS: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</row>
        <row r="240">
          <cell r="D240">
            <v>1</v>
          </cell>
          <cell r="E240" t="str">
            <v>Herramientas de Mano</v>
          </cell>
          <cell r="F240" t="str">
            <v>gl</v>
          </cell>
          <cell r="G240">
            <v>21.044999999999998</v>
          </cell>
          <cell r="H240">
            <v>1</v>
          </cell>
          <cell r="I240">
            <v>21.044999999999998</v>
          </cell>
        </row>
        <row r="241">
          <cell r="D241">
            <v>2</v>
          </cell>
          <cell r="E241" t="str">
            <v>-</v>
          </cell>
          <cell r="F241" t="str">
            <v>-</v>
          </cell>
          <cell r="G241">
            <v>0</v>
          </cell>
          <cell r="H241">
            <v>0</v>
          </cell>
          <cell r="I241">
            <v>0</v>
          </cell>
        </row>
        <row r="242">
          <cell r="D242">
            <v>3</v>
          </cell>
          <cell r="E242" t="str">
            <v>-</v>
          </cell>
          <cell r="F242" t="str">
            <v>-</v>
          </cell>
          <cell r="G242">
            <v>0</v>
          </cell>
          <cell r="H242">
            <v>0</v>
          </cell>
          <cell r="I242">
            <v>0</v>
          </cell>
        </row>
        <row r="243">
          <cell r="D243">
            <v>4</v>
          </cell>
          <cell r="E243" t="str">
            <v>-</v>
          </cell>
          <cell r="F243" t="str">
            <v>-</v>
          </cell>
          <cell r="G243">
            <v>0</v>
          </cell>
          <cell r="H243">
            <v>0</v>
          </cell>
          <cell r="I243">
            <v>0</v>
          </cell>
        </row>
        <row r="244">
          <cell r="D244">
            <v>5</v>
          </cell>
          <cell r="E244" t="str">
            <v>-</v>
          </cell>
          <cell r="F244" t="str">
            <v>-</v>
          </cell>
          <cell r="G244">
            <v>0</v>
          </cell>
          <cell r="H244">
            <v>0</v>
          </cell>
          <cell r="I244">
            <v>0</v>
          </cell>
        </row>
        <row r="245">
          <cell r="B245" t="str">
            <v>E005</v>
          </cell>
          <cell r="D245">
            <v>0</v>
          </cell>
          <cell r="E245" t="str">
            <v>SUB TOTAL EQUIPOS</v>
          </cell>
          <cell r="F245">
            <v>0</v>
          </cell>
          <cell r="G245">
            <v>0</v>
          </cell>
          <cell r="H245">
            <v>0</v>
          </cell>
          <cell r="I245">
            <v>21.044999999999998</v>
          </cell>
        </row>
        <row r="246"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</row>
        <row r="247">
          <cell r="B247" t="str">
            <v>TR005</v>
          </cell>
          <cell r="C247">
            <v>5</v>
          </cell>
          <cell r="D247">
            <v>0</v>
          </cell>
          <cell r="E247" t="str">
            <v>COSTO (A+B+C+D)</v>
          </cell>
          <cell r="F247">
            <v>0</v>
          </cell>
          <cell r="G247">
            <v>0</v>
          </cell>
          <cell r="H247">
            <v>0</v>
          </cell>
          <cell r="I247">
            <v>722.54499999999996</v>
          </cell>
        </row>
        <row r="248"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</row>
        <row r="249"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</row>
        <row r="250">
          <cell r="D250">
            <v>0</v>
          </cell>
          <cell r="E250" t="str">
            <v>Rubro:</v>
          </cell>
          <cell r="F250" t="str">
            <v>01</v>
          </cell>
          <cell r="G250" t="str">
            <v>INSTALACIÓN REDES DE GAS</v>
          </cell>
          <cell r="H250" t="e">
            <v>#NAME?</v>
          </cell>
          <cell r="I250" t="e">
            <v>#NAME?</v>
          </cell>
        </row>
        <row r="251">
          <cell r="D251">
            <v>0</v>
          </cell>
          <cell r="E251" t="str">
            <v>Sub Rubro:</v>
          </cell>
          <cell r="F251" t="str">
            <v>01.06</v>
          </cell>
          <cell r="G251" t="str">
            <v>Confección de Proyecto Constructivo y Conforme a Obra</v>
          </cell>
          <cell r="H251" t="e">
            <v>#NAME?</v>
          </cell>
          <cell r="I251" t="e">
            <v>#NAME?</v>
          </cell>
        </row>
        <row r="252">
          <cell r="D252">
            <v>0</v>
          </cell>
          <cell r="E252" t="str">
            <v>Ítem:</v>
          </cell>
          <cell r="F252" t="str">
            <v>01.06</v>
          </cell>
          <cell r="G252" t="str">
            <v>Confección de Proyecto Constructivo y Conforme a Obra</v>
          </cell>
          <cell r="H252" t="e">
            <v>#NAME?</v>
          </cell>
          <cell r="I252" t="e">
            <v>#NAME?</v>
          </cell>
        </row>
        <row r="253">
          <cell r="D253">
            <v>0</v>
          </cell>
          <cell r="E253" t="str">
            <v>Unida:</v>
          </cell>
          <cell r="F253" t="str">
            <v>gl</v>
          </cell>
          <cell r="G253">
            <v>0</v>
          </cell>
          <cell r="H253">
            <v>0</v>
          </cell>
          <cell r="I253">
            <v>0</v>
          </cell>
        </row>
        <row r="254">
          <cell r="D254">
            <v>0</v>
          </cell>
          <cell r="E254" t="str">
            <v>DENOMINACION</v>
          </cell>
          <cell r="F254" t="str">
            <v>UNIDAD</v>
          </cell>
          <cell r="G254" t="str">
            <v>COSTO UNITARIO</v>
          </cell>
          <cell r="H254" t="str">
            <v>RENDIMIENTO POR UNIDAD</v>
          </cell>
          <cell r="I254" t="str">
            <v>COSTO PARCIAL</v>
          </cell>
        </row>
        <row r="255">
          <cell r="D255">
            <v>0</v>
          </cell>
          <cell r="E255" t="str">
            <v>A- MATERIALES: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D256">
            <v>1</v>
          </cell>
          <cell r="E256" t="str">
            <v>Accesorios</v>
          </cell>
          <cell r="F256" t="str">
            <v>gl</v>
          </cell>
          <cell r="G256">
            <v>575</v>
          </cell>
          <cell r="H256">
            <v>1</v>
          </cell>
          <cell r="I256">
            <v>575</v>
          </cell>
        </row>
        <row r="257">
          <cell r="D257">
            <v>2</v>
          </cell>
          <cell r="E257" t="str">
            <v>-</v>
          </cell>
          <cell r="F257" t="str">
            <v>-</v>
          </cell>
          <cell r="G257">
            <v>0</v>
          </cell>
          <cell r="H257">
            <v>0</v>
          </cell>
          <cell r="I257">
            <v>0</v>
          </cell>
        </row>
        <row r="258">
          <cell r="D258">
            <v>3</v>
          </cell>
          <cell r="E258" t="str">
            <v>-</v>
          </cell>
          <cell r="F258" t="str">
            <v>-</v>
          </cell>
          <cell r="G258">
            <v>0</v>
          </cell>
          <cell r="H258">
            <v>0</v>
          </cell>
          <cell r="I258">
            <v>0</v>
          </cell>
        </row>
        <row r="259">
          <cell r="D259">
            <v>4</v>
          </cell>
          <cell r="E259" t="str">
            <v>-</v>
          </cell>
          <cell r="F259" t="str">
            <v>-</v>
          </cell>
          <cell r="G259">
            <v>0</v>
          </cell>
          <cell r="H259">
            <v>0</v>
          </cell>
          <cell r="I259">
            <v>0</v>
          </cell>
        </row>
        <row r="260">
          <cell r="D260">
            <v>5</v>
          </cell>
          <cell r="E260" t="str">
            <v>-</v>
          </cell>
          <cell r="F260" t="str">
            <v>-</v>
          </cell>
          <cell r="G260">
            <v>0</v>
          </cell>
          <cell r="H260">
            <v>0</v>
          </cell>
          <cell r="I260">
            <v>0</v>
          </cell>
        </row>
        <row r="261">
          <cell r="D261">
            <v>6</v>
          </cell>
          <cell r="E261" t="str">
            <v>-</v>
          </cell>
          <cell r="F261" t="str">
            <v>-</v>
          </cell>
          <cell r="G261">
            <v>0</v>
          </cell>
          <cell r="H261">
            <v>0</v>
          </cell>
          <cell r="I261">
            <v>0</v>
          </cell>
        </row>
        <row r="262">
          <cell r="D262">
            <v>7</v>
          </cell>
          <cell r="E262" t="str">
            <v>-</v>
          </cell>
          <cell r="F262" t="str">
            <v>-</v>
          </cell>
          <cell r="G262">
            <v>0</v>
          </cell>
          <cell r="H262">
            <v>0</v>
          </cell>
          <cell r="I262">
            <v>0</v>
          </cell>
        </row>
        <row r="263">
          <cell r="D263">
            <v>8</v>
          </cell>
          <cell r="E263" t="str">
            <v>-</v>
          </cell>
          <cell r="F263" t="str">
            <v>-</v>
          </cell>
          <cell r="G263">
            <v>0</v>
          </cell>
          <cell r="H263">
            <v>0</v>
          </cell>
          <cell r="I263">
            <v>0</v>
          </cell>
        </row>
        <row r="264">
          <cell r="D264">
            <v>9</v>
          </cell>
          <cell r="E264" t="str">
            <v>-</v>
          </cell>
          <cell r="F264" t="str">
            <v>-</v>
          </cell>
          <cell r="G264">
            <v>0</v>
          </cell>
          <cell r="H264">
            <v>0</v>
          </cell>
          <cell r="I264">
            <v>0</v>
          </cell>
        </row>
        <row r="265">
          <cell r="D265">
            <v>10</v>
          </cell>
          <cell r="E265" t="str">
            <v>-</v>
          </cell>
          <cell r="F265" t="str">
            <v>-</v>
          </cell>
          <cell r="G265">
            <v>0</v>
          </cell>
          <cell r="H265">
            <v>0</v>
          </cell>
          <cell r="I265">
            <v>0</v>
          </cell>
        </row>
        <row r="266">
          <cell r="D266">
            <v>11</v>
          </cell>
          <cell r="E266" t="str">
            <v>-</v>
          </cell>
          <cell r="F266" t="str">
            <v>-</v>
          </cell>
          <cell r="G266">
            <v>0</v>
          </cell>
          <cell r="H266">
            <v>0</v>
          </cell>
          <cell r="I266">
            <v>0</v>
          </cell>
        </row>
        <row r="267">
          <cell r="D267">
            <v>12</v>
          </cell>
          <cell r="E267" t="str">
            <v>-</v>
          </cell>
          <cell r="F267" t="str">
            <v>-</v>
          </cell>
          <cell r="G267">
            <v>0</v>
          </cell>
          <cell r="H267">
            <v>0</v>
          </cell>
          <cell r="I267">
            <v>0</v>
          </cell>
        </row>
        <row r="268">
          <cell r="D268">
            <v>13</v>
          </cell>
          <cell r="E268" t="str">
            <v>-</v>
          </cell>
          <cell r="F268" t="str">
            <v>-</v>
          </cell>
          <cell r="G268">
            <v>0</v>
          </cell>
          <cell r="H268">
            <v>0</v>
          </cell>
          <cell r="I268">
            <v>0</v>
          </cell>
        </row>
        <row r="269">
          <cell r="D269">
            <v>14</v>
          </cell>
          <cell r="E269" t="str">
            <v>-</v>
          </cell>
          <cell r="F269" t="str">
            <v>-</v>
          </cell>
          <cell r="G269">
            <v>0</v>
          </cell>
          <cell r="H269">
            <v>0</v>
          </cell>
          <cell r="I269">
            <v>0</v>
          </cell>
        </row>
        <row r="270">
          <cell r="D270">
            <v>15</v>
          </cell>
          <cell r="E270" t="str">
            <v>-</v>
          </cell>
          <cell r="F270" t="str">
            <v>-</v>
          </cell>
          <cell r="G270">
            <v>0</v>
          </cell>
          <cell r="H270">
            <v>0</v>
          </cell>
          <cell r="I270">
            <v>0</v>
          </cell>
        </row>
        <row r="271">
          <cell r="D271">
            <v>16</v>
          </cell>
          <cell r="E271" t="str">
            <v>-</v>
          </cell>
          <cell r="F271" t="str">
            <v>-</v>
          </cell>
          <cell r="G271">
            <v>0</v>
          </cell>
          <cell r="H271">
            <v>0</v>
          </cell>
          <cell r="I271">
            <v>0</v>
          </cell>
        </row>
        <row r="272">
          <cell r="D272">
            <v>17</v>
          </cell>
          <cell r="E272" t="str">
            <v>-</v>
          </cell>
          <cell r="F272" t="str">
            <v>-</v>
          </cell>
          <cell r="G272">
            <v>0</v>
          </cell>
          <cell r="H272">
            <v>0</v>
          </cell>
          <cell r="I272">
            <v>0</v>
          </cell>
        </row>
        <row r="273">
          <cell r="D273">
            <v>18</v>
          </cell>
          <cell r="E273" t="str">
            <v>-</v>
          </cell>
          <cell r="F273" t="str">
            <v>-</v>
          </cell>
          <cell r="G273">
            <v>0</v>
          </cell>
          <cell r="H273">
            <v>0</v>
          </cell>
          <cell r="I273">
            <v>0</v>
          </cell>
        </row>
        <row r="274">
          <cell r="D274">
            <v>19</v>
          </cell>
          <cell r="E274" t="str">
            <v>-</v>
          </cell>
          <cell r="F274" t="str">
            <v>-</v>
          </cell>
          <cell r="G274">
            <v>0</v>
          </cell>
          <cell r="H274">
            <v>0</v>
          </cell>
          <cell r="I274">
            <v>0</v>
          </cell>
        </row>
        <row r="275">
          <cell r="D275">
            <v>20</v>
          </cell>
          <cell r="E275" t="str">
            <v>-</v>
          </cell>
          <cell r="F275" t="str">
            <v>-</v>
          </cell>
          <cell r="G275">
            <v>0</v>
          </cell>
          <cell r="H275">
            <v>0</v>
          </cell>
          <cell r="I275">
            <v>0</v>
          </cell>
        </row>
        <row r="276">
          <cell r="B276" t="str">
            <v>MA006</v>
          </cell>
          <cell r="D276">
            <v>0</v>
          </cell>
          <cell r="E276" t="str">
            <v>SUB TOTAL MATERIALES</v>
          </cell>
          <cell r="F276">
            <v>0</v>
          </cell>
          <cell r="G276">
            <v>0</v>
          </cell>
          <cell r="H276">
            <v>0</v>
          </cell>
          <cell r="I276">
            <v>575</v>
          </cell>
        </row>
        <row r="277">
          <cell r="D277">
            <v>0</v>
          </cell>
          <cell r="E277" t="str">
            <v>B- MANO DE OBRA: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</row>
        <row r="278">
          <cell r="D278">
            <v>1</v>
          </cell>
          <cell r="E278" t="str">
            <v>-</v>
          </cell>
          <cell r="F278" t="str">
            <v>hs</v>
          </cell>
          <cell r="G278">
            <v>0</v>
          </cell>
          <cell r="H278">
            <v>0</v>
          </cell>
          <cell r="I278">
            <v>0</v>
          </cell>
        </row>
        <row r="279">
          <cell r="D279">
            <v>2</v>
          </cell>
          <cell r="E279" t="str">
            <v>-</v>
          </cell>
          <cell r="F279" t="str">
            <v>hs</v>
          </cell>
          <cell r="G279">
            <v>0</v>
          </cell>
          <cell r="H279">
            <v>0</v>
          </cell>
          <cell r="I279">
            <v>0</v>
          </cell>
        </row>
        <row r="280">
          <cell r="D280">
            <v>3</v>
          </cell>
          <cell r="E280" t="str">
            <v>-</v>
          </cell>
          <cell r="F280" t="str">
            <v>hs</v>
          </cell>
          <cell r="G280">
            <v>0</v>
          </cell>
          <cell r="H280">
            <v>0</v>
          </cell>
          <cell r="I280">
            <v>0</v>
          </cell>
        </row>
        <row r="281">
          <cell r="D281">
            <v>4</v>
          </cell>
          <cell r="E281" t="str">
            <v>-</v>
          </cell>
          <cell r="F281" t="str">
            <v>hs</v>
          </cell>
          <cell r="G281">
            <v>0</v>
          </cell>
          <cell r="H281">
            <v>0</v>
          </cell>
          <cell r="I281">
            <v>0</v>
          </cell>
        </row>
        <row r="282">
          <cell r="D282">
            <v>5</v>
          </cell>
          <cell r="E282" t="str">
            <v>-</v>
          </cell>
          <cell r="F282" t="str">
            <v>hs</v>
          </cell>
          <cell r="G282">
            <v>0</v>
          </cell>
          <cell r="H282">
            <v>0</v>
          </cell>
          <cell r="I282">
            <v>0</v>
          </cell>
        </row>
        <row r="283">
          <cell r="B283" t="str">
            <v>MO006</v>
          </cell>
          <cell r="D283">
            <v>0</v>
          </cell>
          <cell r="E283" t="str">
            <v>SUB TOTAL MANO DE OBRA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</row>
        <row r="284">
          <cell r="D284">
            <v>0</v>
          </cell>
          <cell r="E284" t="str">
            <v>C- EQUIPOS: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</row>
        <row r="285">
          <cell r="D285">
            <v>1</v>
          </cell>
          <cell r="E285" t="str">
            <v>Herramientas de Mano</v>
          </cell>
          <cell r="F285" t="str">
            <v>gl</v>
          </cell>
          <cell r="G285">
            <v>17.25</v>
          </cell>
          <cell r="H285">
            <v>1</v>
          </cell>
          <cell r="I285">
            <v>17.25</v>
          </cell>
        </row>
        <row r="286">
          <cell r="D286">
            <v>2</v>
          </cell>
          <cell r="E286" t="str">
            <v>-</v>
          </cell>
          <cell r="F286" t="str">
            <v>-</v>
          </cell>
          <cell r="G286">
            <v>0</v>
          </cell>
          <cell r="H286">
            <v>0</v>
          </cell>
          <cell r="I286">
            <v>0</v>
          </cell>
        </row>
        <row r="287">
          <cell r="D287">
            <v>3</v>
          </cell>
          <cell r="E287" t="str">
            <v>-</v>
          </cell>
          <cell r="F287" t="str">
            <v>-</v>
          </cell>
          <cell r="G287">
            <v>0</v>
          </cell>
          <cell r="H287">
            <v>0</v>
          </cell>
          <cell r="I287">
            <v>0</v>
          </cell>
        </row>
        <row r="288">
          <cell r="D288">
            <v>4</v>
          </cell>
          <cell r="E288" t="str">
            <v>-</v>
          </cell>
          <cell r="F288" t="str">
            <v>-</v>
          </cell>
          <cell r="G288">
            <v>0</v>
          </cell>
          <cell r="H288">
            <v>0</v>
          </cell>
          <cell r="I288">
            <v>0</v>
          </cell>
        </row>
        <row r="289">
          <cell r="D289">
            <v>5</v>
          </cell>
          <cell r="E289" t="str">
            <v>-</v>
          </cell>
          <cell r="F289" t="str">
            <v>-</v>
          </cell>
          <cell r="G289">
            <v>0</v>
          </cell>
          <cell r="H289">
            <v>0</v>
          </cell>
          <cell r="I289">
            <v>0</v>
          </cell>
        </row>
        <row r="290">
          <cell r="B290" t="str">
            <v>E006</v>
          </cell>
          <cell r="D290">
            <v>0</v>
          </cell>
          <cell r="E290" t="str">
            <v>SUB TOTAL EQUIPOS</v>
          </cell>
          <cell r="F290">
            <v>0</v>
          </cell>
          <cell r="G290">
            <v>0</v>
          </cell>
          <cell r="H290">
            <v>0</v>
          </cell>
          <cell r="I290">
            <v>17.25</v>
          </cell>
        </row>
        <row r="291"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</row>
        <row r="292">
          <cell r="B292" t="str">
            <v>TR006</v>
          </cell>
          <cell r="C292">
            <v>6</v>
          </cell>
          <cell r="D292">
            <v>0</v>
          </cell>
          <cell r="E292" t="str">
            <v>COSTO (A+B+C+D)</v>
          </cell>
          <cell r="F292">
            <v>0</v>
          </cell>
          <cell r="G292">
            <v>0</v>
          </cell>
          <cell r="H292">
            <v>0</v>
          </cell>
          <cell r="I292">
            <v>592.25</v>
          </cell>
        </row>
        <row r="293"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</row>
        <row r="294"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</row>
        <row r="295">
          <cell r="D295">
            <v>0</v>
          </cell>
          <cell r="E295" t="str">
            <v>Rubro:</v>
          </cell>
          <cell r="F295" t="str">
            <v>01</v>
          </cell>
          <cell r="G295" t="str">
            <v>INSTALACIÓN REDES DE GAS</v>
          </cell>
          <cell r="H295" t="e">
            <v>#NAME?</v>
          </cell>
          <cell r="I295" t="e">
            <v>#NAME?</v>
          </cell>
        </row>
        <row r="296">
          <cell r="D296">
            <v>0</v>
          </cell>
          <cell r="E296" t="str">
            <v>Sub Rubro:</v>
          </cell>
          <cell r="F296" t="str">
            <v>01.07</v>
          </cell>
          <cell r="G296" t="str">
            <v>Habilitación de Obra c/Gas</v>
          </cell>
          <cell r="H296" t="e">
            <v>#NAME?</v>
          </cell>
          <cell r="I296" t="e">
            <v>#NAME?</v>
          </cell>
        </row>
        <row r="297">
          <cell r="D297">
            <v>0</v>
          </cell>
          <cell r="E297" t="str">
            <v>Ítem:</v>
          </cell>
          <cell r="F297" t="str">
            <v>01.07</v>
          </cell>
          <cell r="G297" t="str">
            <v>Habilitación de Obra c/Gas</v>
          </cell>
          <cell r="H297" t="e">
            <v>#NAME?</v>
          </cell>
          <cell r="I297" t="e">
            <v>#NAME?</v>
          </cell>
        </row>
        <row r="298">
          <cell r="D298">
            <v>0</v>
          </cell>
          <cell r="E298" t="str">
            <v>Unida:</v>
          </cell>
          <cell r="F298" t="str">
            <v>gl</v>
          </cell>
          <cell r="G298">
            <v>0</v>
          </cell>
          <cell r="H298">
            <v>0</v>
          </cell>
          <cell r="I298">
            <v>0</v>
          </cell>
        </row>
        <row r="299">
          <cell r="D299">
            <v>0</v>
          </cell>
          <cell r="E299" t="str">
            <v>DENOMINACION</v>
          </cell>
          <cell r="F299" t="str">
            <v>UNIDAD</v>
          </cell>
          <cell r="G299" t="str">
            <v>COSTO UNITARIO</v>
          </cell>
          <cell r="H299" t="str">
            <v>RENDIMIENTO POR UNIDAD</v>
          </cell>
          <cell r="I299" t="str">
            <v>COSTO PARCIAL</v>
          </cell>
        </row>
        <row r="300">
          <cell r="D300">
            <v>0</v>
          </cell>
          <cell r="E300" t="str">
            <v>A- MATERIALES: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D301">
            <v>1</v>
          </cell>
          <cell r="E301" t="str">
            <v>Accesorios</v>
          </cell>
          <cell r="F301" t="str">
            <v>gl</v>
          </cell>
          <cell r="G301">
            <v>287.5</v>
          </cell>
          <cell r="H301">
            <v>1</v>
          </cell>
          <cell r="I301">
            <v>287.5</v>
          </cell>
        </row>
        <row r="302">
          <cell r="D302">
            <v>2</v>
          </cell>
          <cell r="E302" t="str">
            <v>-</v>
          </cell>
          <cell r="F302" t="str">
            <v>-</v>
          </cell>
          <cell r="G302">
            <v>0</v>
          </cell>
          <cell r="H302">
            <v>0</v>
          </cell>
          <cell r="I302">
            <v>0</v>
          </cell>
        </row>
        <row r="303">
          <cell r="D303">
            <v>3</v>
          </cell>
          <cell r="E303" t="str">
            <v>-</v>
          </cell>
          <cell r="F303" t="str">
            <v>-</v>
          </cell>
          <cell r="G303">
            <v>0</v>
          </cell>
          <cell r="H303">
            <v>0</v>
          </cell>
          <cell r="I303">
            <v>0</v>
          </cell>
        </row>
        <row r="304">
          <cell r="D304">
            <v>4</v>
          </cell>
          <cell r="E304" t="str">
            <v>-</v>
          </cell>
          <cell r="F304" t="str">
            <v>-</v>
          </cell>
          <cell r="G304">
            <v>0</v>
          </cell>
          <cell r="H304">
            <v>0</v>
          </cell>
          <cell r="I304">
            <v>0</v>
          </cell>
        </row>
        <row r="305">
          <cell r="D305">
            <v>5</v>
          </cell>
          <cell r="E305" t="str">
            <v>-</v>
          </cell>
          <cell r="F305" t="str">
            <v>-</v>
          </cell>
          <cell r="G305">
            <v>0</v>
          </cell>
          <cell r="H305">
            <v>0</v>
          </cell>
          <cell r="I305">
            <v>0</v>
          </cell>
        </row>
        <row r="306">
          <cell r="D306">
            <v>6</v>
          </cell>
          <cell r="E306" t="str">
            <v>-</v>
          </cell>
          <cell r="F306" t="str">
            <v>-</v>
          </cell>
          <cell r="G306">
            <v>0</v>
          </cell>
          <cell r="H306">
            <v>0</v>
          </cell>
          <cell r="I306">
            <v>0</v>
          </cell>
        </row>
        <row r="307">
          <cell r="D307">
            <v>7</v>
          </cell>
          <cell r="E307" t="str">
            <v>-</v>
          </cell>
          <cell r="F307" t="str">
            <v>-</v>
          </cell>
          <cell r="G307">
            <v>0</v>
          </cell>
          <cell r="H307">
            <v>0</v>
          </cell>
          <cell r="I307">
            <v>0</v>
          </cell>
        </row>
        <row r="308">
          <cell r="D308">
            <v>8</v>
          </cell>
          <cell r="E308" t="str">
            <v>-</v>
          </cell>
          <cell r="F308" t="str">
            <v>-</v>
          </cell>
          <cell r="G308">
            <v>0</v>
          </cell>
          <cell r="H308">
            <v>0</v>
          </cell>
          <cell r="I308">
            <v>0</v>
          </cell>
        </row>
        <row r="309">
          <cell r="D309">
            <v>9</v>
          </cell>
          <cell r="E309" t="str">
            <v>-</v>
          </cell>
          <cell r="F309" t="str">
            <v>-</v>
          </cell>
          <cell r="G309">
            <v>0</v>
          </cell>
          <cell r="H309">
            <v>0</v>
          </cell>
          <cell r="I309">
            <v>0</v>
          </cell>
        </row>
        <row r="310">
          <cell r="D310">
            <v>10</v>
          </cell>
          <cell r="E310" t="str">
            <v>-</v>
          </cell>
          <cell r="F310" t="str">
            <v>-</v>
          </cell>
          <cell r="G310">
            <v>0</v>
          </cell>
          <cell r="H310">
            <v>0</v>
          </cell>
          <cell r="I310">
            <v>0</v>
          </cell>
        </row>
        <row r="311">
          <cell r="D311">
            <v>11</v>
          </cell>
          <cell r="E311" t="str">
            <v>-</v>
          </cell>
          <cell r="F311" t="str">
            <v>-</v>
          </cell>
          <cell r="G311">
            <v>0</v>
          </cell>
          <cell r="H311">
            <v>0</v>
          </cell>
          <cell r="I311">
            <v>0</v>
          </cell>
        </row>
        <row r="312">
          <cell r="D312">
            <v>12</v>
          </cell>
          <cell r="E312" t="str">
            <v>-</v>
          </cell>
          <cell r="F312" t="str">
            <v>-</v>
          </cell>
          <cell r="G312">
            <v>0</v>
          </cell>
          <cell r="H312">
            <v>0</v>
          </cell>
          <cell r="I312">
            <v>0</v>
          </cell>
        </row>
        <row r="313">
          <cell r="D313">
            <v>13</v>
          </cell>
          <cell r="E313" t="str">
            <v>-</v>
          </cell>
          <cell r="F313" t="str">
            <v>-</v>
          </cell>
          <cell r="G313">
            <v>0</v>
          </cell>
          <cell r="H313">
            <v>0</v>
          </cell>
          <cell r="I313">
            <v>0</v>
          </cell>
        </row>
        <row r="314">
          <cell r="D314">
            <v>14</v>
          </cell>
          <cell r="E314" t="str">
            <v>-</v>
          </cell>
          <cell r="F314" t="str">
            <v>-</v>
          </cell>
          <cell r="G314">
            <v>0</v>
          </cell>
          <cell r="H314">
            <v>0</v>
          </cell>
          <cell r="I314">
            <v>0</v>
          </cell>
        </row>
        <row r="315">
          <cell r="D315">
            <v>15</v>
          </cell>
          <cell r="E315" t="str">
            <v>-</v>
          </cell>
          <cell r="F315" t="str">
            <v>-</v>
          </cell>
          <cell r="G315">
            <v>0</v>
          </cell>
          <cell r="H315">
            <v>0</v>
          </cell>
          <cell r="I315">
            <v>0</v>
          </cell>
        </row>
        <row r="316">
          <cell r="D316">
            <v>16</v>
          </cell>
          <cell r="E316" t="str">
            <v>-</v>
          </cell>
          <cell r="F316" t="str">
            <v>-</v>
          </cell>
          <cell r="G316">
            <v>0</v>
          </cell>
          <cell r="H316">
            <v>0</v>
          </cell>
          <cell r="I316">
            <v>0</v>
          </cell>
        </row>
        <row r="317">
          <cell r="D317">
            <v>17</v>
          </cell>
          <cell r="E317" t="str">
            <v>-</v>
          </cell>
          <cell r="F317" t="str">
            <v>-</v>
          </cell>
          <cell r="G317">
            <v>0</v>
          </cell>
          <cell r="H317">
            <v>0</v>
          </cell>
          <cell r="I317">
            <v>0</v>
          </cell>
        </row>
        <row r="318">
          <cell r="D318">
            <v>18</v>
          </cell>
          <cell r="E318" t="str">
            <v>-</v>
          </cell>
          <cell r="F318" t="str">
            <v>-</v>
          </cell>
          <cell r="G318">
            <v>0</v>
          </cell>
          <cell r="H318">
            <v>0</v>
          </cell>
          <cell r="I318">
            <v>0</v>
          </cell>
        </row>
        <row r="319">
          <cell r="D319">
            <v>19</v>
          </cell>
          <cell r="E319" t="str">
            <v>-</v>
          </cell>
          <cell r="F319" t="str">
            <v>-</v>
          </cell>
          <cell r="G319">
            <v>0</v>
          </cell>
          <cell r="H319">
            <v>0</v>
          </cell>
          <cell r="I319">
            <v>0</v>
          </cell>
        </row>
        <row r="320">
          <cell r="D320">
            <v>20</v>
          </cell>
          <cell r="E320" t="str">
            <v>-</v>
          </cell>
          <cell r="F320" t="str">
            <v>-</v>
          </cell>
          <cell r="G320">
            <v>0</v>
          </cell>
          <cell r="H320">
            <v>0</v>
          </cell>
          <cell r="I320">
            <v>0</v>
          </cell>
        </row>
        <row r="321">
          <cell r="B321" t="str">
            <v>MA007</v>
          </cell>
          <cell r="D321">
            <v>0</v>
          </cell>
          <cell r="E321" t="str">
            <v>SUB TOTAL MATERIALES</v>
          </cell>
          <cell r="F321">
            <v>0</v>
          </cell>
          <cell r="G321">
            <v>0</v>
          </cell>
          <cell r="H321">
            <v>0</v>
          </cell>
          <cell r="I321">
            <v>287.5</v>
          </cell>
        </row>
        <row r="322">
          <cell r="D322">
            <v>0</v>
          </cell>
          <cell r="E322" t="str">
            <v>B- MANO DE OBRA: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</row>
        <row r="323">
          <cell r="D323">
            <v>1</v>
          </cell>
          <cell r="E323" t="str">
            <v>Oficial</v>
          </cell>
          <cell r="F323" t="str">
            <v>hs</v>
          </cell>
          <cell r="G323">
            <v>79.396129375000001</v>
          </cell>
          <cell r="H323">
            <v>6</v>
          </cell>
          <cell r="I323">
            <v>476.37677625000003</v>
          </cell>
        </row>
        <row r="324">
          <cell r="D324">
            <v>2</v>
          </cell>
          <cell r="E324" t="str">
            <v>Ayudante</v>
          </cell>
          <cell r="F324" t="str">
            <v>hs</v>
          </cell>
          <cell r="G324">
            <v>68.347731499999995</v>
          </cell>
          <cell r="H324">
            <v>2.1159915709857877</v>
          </cell>
          <cell r="I324">
            <v>144.6232237499998</v>
          </cell>
        </row>
        <row r="325">
          <cell r="D325">
            <v>3</v>
          </cell>
          <cell r="E325" t="str">
            <v>-</v>
          </cell>
          <cell r="F325" t="str">
            <v>hs</v>
          </cell>
          <cell r="G325">
            <v>0</v>
          </cell>
          <cell r="H325">
            <v>0</v>
          </cell>
          <cell r="I325">
            <v>0</v>
          </cell>
        </row>
        <row r="326">
          <cell r="D326">
            <v>4</v>
          </cell>
          <cell r="E326" t="str">
            <v>-</v>
          </cell>
          <cell r="F326" t="str">
            <v>hs</v>
          </cell>
          <cell r="G326">
            <v>0</v>
          </cell>
          <cell r="H326">
            <v>0</v>
          </cell>
          <cell r="I326">
            <v>0</v>
          </cell>
        </row>
        <row r="327">
          <cell r="D327">
            <v>5</v>
          </cell>
          <cell r="E327" t="str">
            <v>-</v>
          </cell>
          <cell r="F327" t="str">
            <v>hs</v>
          </cell>
          <cell r="G327">
            <v>0</v>
          </cell>
          <cell r="H327">
            <v>0</v>
          </cell>
          <cell r="I327">
            <v>0</v>
          </cell>
        </row>
        <row r="328">
          <cell r="B328" t="str">
            <v>MO007</v>
          </cell>
          <cell r="D328">
            <v>0</v>
          </cell>
          <cell r="E328" t="str">
            <v>SUB TOTAL MANO DE OBRA</v>
          </cell>
          <cell r="F328">
            <v>0</v>
          </cell>
          <cell r="G328">
            <v>0</v>
          </cell>
          <cell r="H328">
            <v>0</v>
          </cell>
          <cell r="I328">
            <v>620.99999999999977</v>
          </cell>
        </row>
        <row r="329">
          <cell r="D329">
            <v>0</v>
          </cell>
          <cell r="E329" t="str">
            <v>C- EQUIPOS: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</row>
        <row r="330">
          <cell r="D330">
            <v>1</v>
          </cell>
          <cell r="E330" t="str">
            <v>Herramientas de Mano</v>
          </cell>
          <cell r="F330" t="str">
            <v>gl</v>
          </cell>
          <cell r="G330">
            <v>27.254999999999992</v>
          </cell>
          <cell r="H330">
            <v>1</v>
          </cell>
          <cell r="I330">
            <v>27.254999999999992</v>
          </cell>
        </row>
        <row r="331">
          <cell r="D331">
            <v>2</v>
          </cell>
          <cell r="E331" t="str">
            <v>-</v>
          </cell>
          <cell r="F331" t="str">
            <v>-</v>
          </cell>
          <cell r="G331">
            <v>0</v>
          </cell>
          <cell r="H331">
            <v>0</v>
          </cell>
          <cell r="I331">
            <v>0</v>
          </cell>
        </row>
        <row r="332">
          <cell r="D332">
            <v>3</v>
          </cell>
          <cell r="E332" t="str">
            <v>-</v>
          </cell>
          <cell r="F332" t="str">
            <v>-</v>
          </cell>
          <cell r="G332">
            <v>0</v>
          </cell>
          <cell r="H332">
            <v>0</v>
          </cell>
          <cell r="I332">
            <v>0</v>
          </cell>
        </row>
        <row r="333">
          <cell r="D333">
            <v>4</v>
          </cell>
          <cell r="E333" t="str">
            <v>-</v>
          </cell>
          <cell r="F333" t="str">
            <v>-</v>
          </cell>
          <cell r="G333">
            <v>0</v>
          </cell>
          <cell r="H333">
            <v>0</v>
          </cell>
          <cell r="I333">
            <v>0</v>
          </cell>
        </row>
        <row r="334">
          <cell r="D334">
            <v>5</v>
          </cell>
          <cell r="E334" t="str">
            <v>-</v>
          </cell>
          <cell r="F334" t="str">
            <v>-</v>
          </cell>
          <cell r="G334">
            <v>0</v>
          </cell>
          <cell r="H334">
            <v>0</v>
          </cell>
          <cell r="I334">
            <v>0</v>
          </cell>
        </row>
        <row r="335">
          <cell r="B335" t="str">
            <v>E007</v>
          </cell>
          <cell r="D335">
            <v>0</v>
          </cell>
          <cell r="E335" t="str">
            <v>SUB TOTAL EQUIPOS</v>
          </cell>
          <cell r="F335">
            <v>0</v>
          </cell>
          <cell r="G335">
            <v>0</v>
          </cell>
          <cell r="H335">
            <v>0</v>
          </cell>
          <cell r="I335">
            <v>27.254999999999992</v>
          </cell>
        </row>
        <row r="336"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</row>
        <row r="337">
          <cell r="B337" t="str">
            <v>TR007</v>
          </cell>
          <cell r="C337">
            <v>7</v>
          </cell>
          <cell r="D337">
            <v>0</v>
          </cell>
          <cell r="E337" t="str">
            <v>COSTO (A+B+C+D)</v>
          </cell>
          <cell r="F337">
            <v>0</v>
          </cell>
          <cell r="G337">
            <v>0</v>
          </cell>
          <cell r="H337">
            <v>0</v>
          </cell>
          <cell r="I337">
            <v>935.75499999999977</v>
          </cell>
        </row>
        <row r="338"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</row>
        <row r="339"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</row>
        <row r="340">
          <cell r="D340">
            <v>0</v>
          </cell>
          <cell r="E340" t="str">
            <v>Rubro:</v>
          </cell>
          <cell r="F340" t="str">
            <v>01</v>
          </cell>
          <cell r="G340" t="str">
            <v>INSTALACIÓN REDES DE GAS</v>
          </cell>
          <cell r="H340" t="e">
            <v>#NAME?</v>
          </cell>
          <cell r="I340" t="e">
            <v>#NAME?</v>
          </cell>
        </row>
        <row r="341">
          <cell r="D341">
            <v>0</v>
          </cell>
          <cell r="E341" t="str">
            <v>Sub Rubro:</v>
          </cell>
          <cell r="F341" t="str">
            <v>01.08</v>
          </cell>
          <cell r="G341" t="str">
            <v>Limpieza Total de Obra</v>
          </cell>
          <cell r="H341" t="e">
            <v>#NAME?</v>
          </cell>
          <cell r="I341" t="e">
            <v>#NAME?</v>
          </cell>
        </row>
        <row r="342">
          <cell r="D342">
            <v>0</v>
          </cell>
          <cell r="E342" t="str">
            <v>Ítem:</v>
          </cell>
          <cell r="F342" t="str">
            <v>01.08</v>
          </cell>
          <cell r="G342" t="str">
            <v>Limpieza Total de Obra</v>
          </cell>
          <cell r="H342" t="e">
            <v>#NAME?</v>
          </cell>
          <cell r="I342" t="e">
            <v>#NAME?</v>
          </cell>
        </row>
        <row r="343">
          <cell r="D343">
            <v>0</v>
          </cell>
          <cell r="E343" t="str">
            <v>Unida:</v>
          </cell>
          <cell r="F343" t="str">
            <v>gl</v>
          </cell>
          <cell r="G343">
            <v>0</v>
          </cell>
          <cell r="H343">
            <v>0</v>
          </cell>
          <cell r="I343">
            <v>0</v>
          </cell>
        </row>
        <row r="344">
          <cell r="D344">
            <v>0</v>
          </cell>
          <cell r="E344" t="str">
            <v>DENOMINACION</v>
          </cell>
          <cell r="F344" t="str">
            <v>UNIDAD</v>
          </cell>
          <cell r="G344" t="str">
            <v>COSTO UNITARIO</v>
          </cell>
          <cell r="H344" t="str">
            <v>RENDIMIENTO POR UNIDAD</v>
          </cell>
          <cell r="I344" t="str">
            <v>COSTO PARCIAL</v>
          </cell>
        </row>
        <row r="345">
          <cell r="D345">
            <v>0</v>
          </cell>
          <cell r="E345" t="str">
            <v>A- MATERIALES: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</row>
        <row r="346">
          <cell r="D346">
            <v>1</v>
          </cell>
          <cell r="E346" t="str">
            <v>Accesorios</v>
          </cell>
          <cell r="F346" t="str">
            <v>gl</v>
          </cell>
          <cell r="G346">
            <v>114.99999999999999</v>
          </cell>
          <cell r="H346">
            <v>1</v>
          </cell>
          <cell r="I346">
            <v>114.99999999999999</v>
          </cell>
        </row>
        <row r="347">
          <cell r="D347">
            <v>2</v>
          </cell>
          <cell r="E347" t="str">
            <v>-</v>
          </cell>
          <cell r="F347" t="str">
            <v>-</v>
          </cell>
          <cell r="G347">
            <v>0</v>
          </cell>
          <cell r="H347">
            <v>0</v>
          </cell>
          <cell r="I347">
            <v>0</v>
          </cell>
        </row>
        <row r="348">
          <cell r="D348">
            <v>3</v>
          </cell>
          <cell r="E348" t="str">
            <v>-</v>
          </cell>
          <cell r="F348" t="str">
            <v>-</v>
          </cell>
          <cell r="G348">
            <v>0</v>
          </cell>
          <cell r="H348">
            <v>0</v>
          </cell>
          <cell r="I348">
            <v>0</v>
          </cell>
        </row>
        <row r="349">
          <cell r="D349">
            <v>4</v>
          </cell>
          <cell r="E349" t="str">
            <v>-</v>
          </cell>
          <cell r="F349" t="str">
            <v>-</v>
          </cell>
          <cell r="G349">
            <v>0</v>
          </cell>
          <cell r="H349">
            <v>0</v>
          </cell>
          <cell r="I349">
            <v>0</v>
          </cell>
        </row>
        <row r="350">
          <cell r="D350">
            <v>5</v>
          </cell>
          <cell r="E350" t="str">
            <v>-</v>
          </cell>
          <cell r="F350" t="str">
            <v>-</v>
          </cell>
          <cell r="G350">
            <v>0</v>
          </cell>
          <cell r="H350">
            <v>0</v>
          </cell>
          <cell r="I350">
            <v>0</v>
          </cell>
        </row>
        <row r="351">
          <cell r="D351">
            <v>6</v>
          </cell>
          <cell r="E351" t="str">
            <v>-</v>
          </cell>
          <cell r="F351" t="str">
            <v>-</v>
          </cell>
          <cell r="G351">
            <v>0</v>
          </cell>
          <cell r="H351">
            <v>0</v>
          </cell>
          <cell r="I351">
            <v>0</v>
          </cell>
        </row>
        <row r="352">
          <cell r="D352">
            <v>7</v>
          </cell>
          <cell r="E352" t="str">
            <v>-</v>
          </cell>
          <cell r="F352" t="str">
            <v>-</v>
          </cell>
          <cell r="G352">
            <v>0</v>
          </cell>
          <cell r="H352">
            <v>0</v>
          </cell>
          <cell r="I352">
            <v>0</v>
          </cell>
        </row>
        <row r="353">
          <cell r="D353">
            <v>8</v>
          </cell>
          <cell r="E353" t="str">
            <v>-</v>
          </cell>
          <cell r="F353" t="str">
            <v>-</v>
          </cell>
          <cell r="G353">
            <v>0</v>
          </cell>
          <cell r="H353">
            <v>0</v>
          </cell>
          <cell r="I353">
            <v>0</v>
          </cell>
        </row>
        <row r="354">
          <cell r="D354">
            <v>9</v>
          </cell>
          <cell r="E354" t="str">
            <v>-</v>
          </cell>
          <cell r="F354" t="str">
            <v>-</v>
          </cell>
          <cell r="G354">
            <v>0</v>
          </cell>
          <cell r="H354">
            <v>0</v>
          </cell>
          <cell r="I354">
            <v>0</v>
          </cell>
        </row>
        <row r="355">
          <cell r="D355">
            <v>10</v>
          </cell>
          <cell r="E355" t="str">
            <v>-</v>
          </cell>
          <cell r="F355" t="str">
            <v>-</v>
          </cell>
          <cell r="G355">
            <v>0</v>
          </cell>
          <cell r="H355">
            <v>0</v>
          </cell>
          <cell r="I355">
            <v>0</v>
          </cell>
        </row>
        <row r="356">
          <cell r="D356">
            <v>11</v>
          </cell>
          <cell r="E356" t="str">
            <v>-</v>
          </cell>
          <cell r="F356" t="str">
            <v>-</v>
          </cell>
          <cell r="G356">
            <v>0</v>
          </cell>
          <cell r="H356">
            <v>0</v>
          </cell>
          <cell r="I356">
            <v>0</v>
          </cell>
        </row>
        <row r="357">
          <cell r="D357">
            <v>12</v>
          </cell>
          <cell r="E357" t="str">
            <v>-</v>
          </cell>
          <cell r="F357" t="str">
            <v>-</v>
          </cell>
          <cell r="G357">
            <v>0</v>
          </cell>
          <cell r="H357">
            <v>0</v>
          </cell>
          <cell r="I357">
            <v>0</v>
          </cell>
        </row>
        <row r="358">
          <cell r="D358">
            <v>13</v>
          </cell>
          <cell r="E358" t="str">
            <v>-</v>
          </cell>
          <cell r="F358" t="str">
            <v>-</v>
          </cell>
          <cell r="G358">
            <v>0</v>
          </cell>
          <cell r="H358">
            <v>0</v>
          </cell>
          <cell r="I358">
            <v>0</v>
          </cell>
        </row>
        <row r="359">
          <cell r="D359">
            <v>14</v>
          </cell>
          <cell r="E359" t="str">
            <v>-</v>
          </cell>
          <cell r="F359" t="str">
            <v>-</v>
          </cell>
          <cell r="G359">
            <v>0</v>
          </cell>
          <cell r="H359">
            <v>0</v>
          </cell>
          <cell r="I359">
            <v>0</v>
          </cell>
        </row>
        <row r="360">
          <cell r="D360">
            <v>15</v>
          </cell>
          <cell r="E360" t="str">
            <v>-</v>
          </cell>
          <cell r="F360" t="str">
            <v>-</v>
          </cell>
          <cell r="G360">
            <v>0</v>
          </cell>
          <cell r="H360">
            <v>0</v>
          </cell>
          <cell r="I360">
            <v>0</v>
          </cell>
        </row>
        <row r="361">
          <cell r="D361">
            <v>16</v>
          </cell>
          <cell r="E361" t="str">
            <v>-</v>
          </cell>
          <cell r="F361" t="str">
            <v>-</v>
          </cell>
          <cell r="G361">
            <v>0</v>
          </cell>
          <cell r="H361">
            <v>0</v>
          </cell>
          <cell r="I361">
            <v>0</v>
          </cell>
        </row>
        <row r="362">
          <cell r="D362">
            <v>17</v>
          </cell>
          <cell r="E362" t="str">
            <v>-</v>
          </cell>
          <cell r="F362" t="str">
            <v>-</v>
          </cell>
          <cell r="G362">
            <v>0</v>
          </cell>
          <cell r="H362">
            <v>0</v>
          </cell>
          <cell r="I362">
            <v>0</v>
          </cell>
        </row>
        <row r="363">
          <cell r="D363">
            <v>18</v>
          </cell>
          <cell r="E363" t="str">
            <v>-</v>
          </cell>
          <cell r="F363" t="str">
            <v>-</v>
          </cell>
          <cell r="G363">
            <v>0</v>
          </cell>
          <cell r="H363">
            <v>0</v>
          </cell>
          <cell r="I363">
            <v>0</v>
          </cell>
        </row>
        <row r="364">
          <cell r="D364">
            <v>19</v>
          </cell>
          <cell r="E364" t="str">
            <v>-</v>
          </cell>
          <cell r="F364" t="str">
            <v>-</v>
          </cell>
          <cell r="G364">
            <v>0</v>
          </cell>
          <cell r="H364">
            <v>0</v>
          </cell>
          <cell r="I364">
            <v>0</v>
          </cell>
        </row>
        <row r="365">
          <cell r="D365">
            <v>20</v>
          </cell>
          <cell r="E365" t="str">
            <v>-</v>
          </cell>
          <cell r="F365" t="str">
            <v>-</v>
          </cell>
          <cell r="G365">
            <v>0</v>
          </cell>
          <cell r="H365">
            <v>0</v>
          </cell>
          <cell r="I365">
            <v>0</v>
          </cell>
        </row>
        <row r="366">
          <cell r="B366" t="str">
            <v>MA008</v>
          </cell>
          <cell r="D366">
            <v>0</v>
          </cell>
          <cell r="E366" t="str">
            <v>SUB TOTAL MATERIALES</v>
          </cell>
          <cell r="F366">
            <v>0</v>
          </cell>
          <cell r="G366">
            <v>0</v>
          </cell>
          <cell r="H366">
            <v>0</v>
          </cell>
          <cell r="I366">
            <v>114.99999999999999</v>
          </cell>
        </row>
        <row r="367">
          <cell r="D367">
            <v>0</v>
          </cell>
          <cell r="E367" t="str">
            <v>B- MANO DE OBRA: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</row>
        <row r="368">
          <cell r="D368">
            <v>1</v>
          </cell>
          <cell r="E368" t="str">
            <v>Oficial</v>
          </cell>
          <cell r="F368" t="str">
            <v>hs</v>
          </cell>
          <cell r="G368">
            <v>79.396129375000001</v>
          </cell>
          <cell r="H368">
            <v>2.3735727110815468</v>
          </cell>
          <cell r="I368">
            <v>188.45248604999998</v>
          </cell>
        </row>
        <row r="369">
          <cell r="D369">
            <v>2</v>
          </cell>
          <cell r="E369" t="str">
            <v>Ayudante</v>
          </cell>
          <cell r="F369" t="str">
            <v>hs</v>
          </cell>
          <cell r="G369">
            <v>68.347731499999995</v>
          </cell>
          <cell r="H369">
            <v>3.3</v>
          </cell>
          <cell r="I369">
            <v>225.54751394999997</v>
          </cell>
        </row>
        <row r="370">
          <cell r="D370">
            <v>3</v>
          </cell>
          <cell r="E370" t="str">
            <v>-</v>
          </cell>
          <cell r="F370" t="str">
            <v>hs</v>
          </cell>
          <cell r="G370">
            <v>0</v>
          </cell>
          <cell r="H370">
            <v>0</v>
          </cell>
          <cell r="I370">
            <v>0</v>
          </cell>
        </row>
        <row r="371">
          <cell r="D371">
            <v>4</v>
          </cell>
          <cell r="E371" t="str">
            <v>-</v>
          </cell>
          <cell r="F371" t="str">
            <v>hs</v>
          </cell>
          <cell r="G371">
            <v>0</v>
          </cell>
          <cell r="H371">
            <v>0</v>
          </cell>
          <cell r="I371">
            <v>0</v>
          </cell>
        </row>
        <row r="372">
          <cell r="D372">
            <v>5</v>
          </cell>
          <cell r="E372" t="str">
            <v>-</v>
          </cell>
          <cell r="F372" t="str">
            <v>hs</v>
          </cell>
          <cell r="G372">
            <v>0</v>
          </cell>
          <cell r="H372">
            <v>0</v>
          </cell>
          <cell r="I372">
            <v>0</v>
          </cell>
        </row>
        <row r="373">
          <cell r="B373" t="str">
            <v>MO008</v>
          </cell>
          <cell r="D373">
            <v>0</v>
          </cell>
          <cell r="E373" t="str">
            <v>SUB TOTAL MANO DE OBRA</v>
          </cell>
          <cell r="F373">
            <v>0</v>
          </cell>
          <cell r="G373">
            <v>0</v>
          </cell>
          <cell r="H373">
            <v>0</v>
          </cell>
          <cell r="I373">
            <v>413.99999999999994</v>
          </cell>
        </row>
        <row r="374">
          <cell r="D374">
            <v>0</v>
          </cell>
          <cell r="E374" t="str">
            <v>C- EQUIPOS: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</row>
        <row r="375">
          <cell r="D375">
            <v>1</v>
          </cell>
          <cell r="E375" t="str">
            <v>Herramientas de Mano</v>
          </cell>
          <cell r="F375" t="str">
            <v>gl</v>
          </cell>
          <cell r="G375">
            <v>15.869999999999996</v>
          </cell>
          <cell r="H375">
            <v>1</v>
          </cell>
          <cell r="I375">
            <v>15.869999999999996</v>
          </cell>
        </row>
        <row r="376">
          <cell r="D376">
            <v>2</v>
          </cell>
          <cell r="E376" t="str">
            <v>-</v>
          </cell>
          <cell r="F376" t="str">
            <v>-</v>
          </cell>
          <cell r="G376">
            <v>0</v>
          </cell>
          <cell r="H376">
            <v>0</v>
          </cell>
          <cell r="I376">
            <v>0</v>
          </cell>
        </row>
        <row r="377">
          <cell r="D377">
            <v>3</v>
          </cell>
          <cell r="E377" t="str">
            <v>-</v>
          </cell>
          <cell r="F377" t="str">
            <v>-</v>
          </cell>
          <cell r="G377">
            <v>0</v>
          </cell>
          <cell r="H377">
            <v>0</v>
          </cell>
          <cell r="I377">
            <v>0</v>
          </cell>
        </row>
        <row r="378">
          <cell r="D378">
            <v>4</v>
          </cell>
          <cell r="E378" t="str">
            <v>-</v>
          </cell>
          <cell r="F378" t="str">
            <v>-</v>
          </cell>
          <cell r="G378">
            <v>0</v>
          </cell>
          <cell r="H378">
            <v>0</v>
          </cell>
          <cell r="I378">
            <v>0</v>
          </cell>
        </row>
        <row r="379">
          <cell r="D379">
            <v>5</v>
          </cell>
          <cell r="E379" t="str">
            <v>-</v>
          </cell>
          <cell r="F379" t="str">
            <v>-</v>
          </cell>
          <cell r="G379">
            <v>0</v>
          </cell>
          <cell r="H379">
            <v>0</v>
          </cell>
          <cell r="I379">
            <v>0</v>
          </cell>
        </row>
        <row r="380">
          <cell r="B380" t="str">
            <v>E008</v>
          </cell>
          <cell r="D380">
            <v>0</v>
          </cell>
          <cell r="E380" t="str">
            <v>SUB TOTAL EQUIPOS</v>
          </cell>
          <cell r="F380">
            <v>0</v>
          </cell>
          <cell r="G380">
            <v>0</v>
          </cell>
          <cell r="H380">
            <v>0</v>
          </cell>
          <cell r="I380">
            <v>15.869999999999996</v>
          </cell>
        </row>
        <row r="381"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</row>
        <row r="382">
          <cell r="B382" t="str">
            <v>TR008</v>
          </cell>
          <cell r="C382">
            <v>8</v>
          </cell>
          <cell r="D382">
            <v>0</v>
          </cell>
          <cell r="E382" t="str">
            <v>COSTO (A+B+C+D)</v>
          </cell>
          <cell r="F382">
            <v>0</v>
          </cell>
          <cell r="G382">
            <v>0</v>
          </cell>
          <cell r="H382">
            <v>0</v>
          </cell>
          <cell r="I382">
            <v>544.86999999999989</v>
          </cell>
        </row>
        <row r="383"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</row>
        <row r="384"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</row>
        <row r="385">
          <cell r="D385">
            <v>0</v>
          </cell>
          <cell r="E385" t="str">
            <v>Rubro:</v>
          </cell>
          <cell r="F385" t="str">
            <v>01</v>
          </cell>
          <cell r="G385" t="str">
            <v>INSTALACIÓN REDES DE GAS</v>
          </cell>
          <cell r="H385" t="e">
            <v>#NAME?</v>
          </cell>
          <cell r="I385" t="e">
            <v>#NAME?</v>
          </cell>
        </row>
        <row r="386">
          <cell r="D386">
            <v>0</v>
          </cell>
          <cell r="E386" t="str">
            <v>Sub Rubro:</v>
          </cell>
          <cell r="F386" t="str">
            <v>01.09</v>
          </cell>
          <cell r="G386" t="str">
            <v>Instalación de Zeppelín c/1era carga</v>
          </cell>
          <cell r="H386" t="e">
            <v>#NAME?</v>
          </cell>
          <cell r="I386" t="e">
            <v>#NAME?</v>
          </cell>
        </row>
        <row r="387">
          <cell r="D387">
            <v>0</v>
          </cell>
          <cell r="E387" t="str">
            <v>Ítem:</v>
          </cell>
          <cell r="F387" t="str">
            <v>01.09</v>
          </cell>
          <cell r="G387" t="str">
            <v>Instalación de Zeppelín c/1era carga</v>
          </cell>
          <cell r="H387" t="e">
            <v>#NAME?</v>
          </cell>
          <cell r="I387" t="e">
            <v>#NAME?</v>
          </cell>
        </row>
        <row r="388">
          <cell r="D388">
            <v>0</v>
          </cell>
          <cell r="E388" t="str">
            <v>Unida:</v>
          </cell>
          <cell r="F388" t="str">
            <v>gl</v>
          </cell>
          <cell r="G388">
            <v>0</v>
          </cell>
          <cell r="H388">
            <v>0</v>
          </cell>
          <cell r="I388">
            <v>0</v>
          </cell>
        </row>
        <row r="389">
          <cell r="D389">
            <v>0</v>
          </cell>
          <cell r="E389" t="str">
            <v>DENOMINACION</v>
          </cell>
          <cell r="F389" t="str">
            <v>UNIDAD</v>
          </cell>
          <cell r="G389" t="str">
            <v>COSTO UNITARIO</v>
          </cell>
          <cell r="H389" t="str">
            <v>RENDIMIENTO POR UNIDAD</v>
          </cell>
          <cell r="I389" t="str">
            <v>COSTO PARCIAL</v>
          </cell>
        </row>
        <row r="390">
          <cell r="D390">
            <v>0</v>
          </cell>
          <cell r="E390" t="str">
            <v>A- MATERIALES: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</row>
        <row r="391">
          <cell r="D391">
            <v>1</v>
          </cell>
          <cell r="E391" t="str">
            <v>Carga de Gas</v>
          </cell>
          <cell r="F391" t="str">
            <v>kg</v>
          </cell>
          <cell r="G391">
            <v>11.5</v>
          </cell>
          <cell r="H391">
            <v>1000</v>
          </cell>
          <cell r="I391">
            <v>11500</v>
          </cell>
        </row>
        <row r="392">
          <cell r="D392">
            <v>2</v>
          </cell>
          <cell r="E392" t="str">
            <v>-</v>
          </cell>
          <cell r="F392" t="str">
            <v>-</v>
          </cell>
          <cell r="G392">
            <v>0</v>
          </cell>
          <cell r="H392">
            <v>0</v>
          </cell>
          <cell r="I392">
            <v>0</v>
          </cell>
        </row>
        <row r="393">
          <cell r="D393">
            <v>3</v>
          </cell>
          <cell r="E393" t="str">
            <v>-</v>
          </cell>
          <cell r="F393" t="str">
            <v>-</v>
          </cell>
          <cell r="G393">
            <v>0</v>
          </cell>
          <cell r="H393">
            <v>0</v>
          </cell>
          <cell r="I393">
            <v>0</v>
          </cell>
        </row>
        <row r="394">
          <cell r="D394">
            <v>4</v>
          </cell>
          <cell r="E394" t="str">
            <v>-</v>
          </cell>
          <cell r="F394" t="str">
            <v>-</v>
          </cell>
          <cell r="G394">
            <v>0</v>
          </cell>
          <cell r="H394">
            <v>0</v>
          </cell>
          <cell r="I394">
            <v>0</v>
          </cell>
        </row>
        <row r="395">
          <cell r="D395">
            <v>5</v>
          </cell>
          <cell r="E395" t="str">
            <v>-</v>
          </cell>
          <cell r="F395" t="str">
            <v>-</v>
          </cell>
          <cell r="G395">
            <v>0</v>
          </cell>
          <cell r="H395">
            <v>0</v>
          </cell>
          <cell r="I395">
            <v>0</v>
          </cell>
        </row>
        <row r="396">
          <cell r="D396">
            <v>6</v>
          </cell>
          <cell r="E396" t="str">
            <v>-</v>
          </cell>
          <cell r="F396" t="str">
            <v>-</v>
          </cell>
          <cell r="G396">
            <v>0</v>
          </cell>
          <cell r="H396">
            <v>0</v>
          </cell>
          <cell r="I396">
            <v>0</v>
          </cell>
        </row>
        <row r="397">
          <cell r="D397">
            <v>7</v>
          </cell>
          <cell r="E397" t="str">
            <v>-</v>
          </cell>
          <cell r="F397" t="str">
            <v>-</v>
          </cell>
          <cell r="G397">
            <v>0</v>
          </cell>
          <cell r="H397">
            <v>0</v>
          </cell>
          <cell r="I397">
            <v>0</v>
          </cell>
        </row>
        <row r="398">
          <cell r="D398">
            <v>8</v>
          </cell>
          <cell r="E398" t="str">
            <v>-</v>
          </cell>
          <cell r="F398" t="str">
            <v>-</v>
          </cell>
          <cell r="G398">
            <v>0</v>
          </cell>
          <cell r="H398">
            <v>0</v>
          </cell>
          <cell r="I398">
            <v>0</v>
          </cell>
        </row>
        <row r="399">
          <cell r="D399">
            <v>9</v>
          </cell>
          <cell r="E399" t="str">
            <v>-</v>
          </cell>
          <cell r="F399" t="str">
            <v>-</v>
          </cell>
          <cell r="G399">
            <v>0</v>
          </cell>
          <cell r="H399">
            <v>0</v>
          </cell>
          <cell r="I399">
            <v>0</v>
          </cell>
        </row>
        <row r="400">
          <cell r="D400">
            <v>10</v>
          </cell>
          <cell r="E400" t="str">
            <v>-</v>
          </cell>
          <cell r="F400" t="str">
            <v>-</v>
          </cell>
          <cell r="G400">
            <v>0</v>
          </cell>
          <cell r="H400">
            <v>0</v>
          </cell>
          <cell r="I400">
            <v>0</v>
          </cell>
        </row>
        <row r="401">
          <cell r="D401">
            <v>11</v>
          </cell>
          <cell r="E401" t="str">
            <v>-</v>
          </cell>
          <cell r="F401" t="str">
            <v>-</v>
          </cell>
          <cell r="G401">
            <v>0</v>
          </cell>
          <cell r="H401">
            <v>0</v>
          </cell>
          <cell r="I401">
            <v>0</v>
          </cell>
        </row>
        <row r="402">
          <cell r="D402">
            <v>12</v>
          </cell>
          <cell r="E402" t="str">
            <v>-</v>
          </cell>
          <cell r="F402" t="str">
            <v>-</v>
          </cell>
          <cell r="G402">
            <v>0</v>
          </cell>
          <cell r="H402">
            <v>0</v>
          </cell>
          <cell r="I402">
            <v>0</v>
          </cell>
        </row>
        <row r="403">
          <cell r="D403">
            <v>13</v>
          </cell>
          <cell r="E403" t="str">
            <v>-</v>
          </cell>
          <cell r="F403" t="str">
            <v>-</v>
          </cell>
          <cell r="G403">
            <v>0</v>
          </cell>
          <cell r="H403">
            <v>0</v>
          </cell>
          <cell r="I403">
            <v>0</v>
          </cell>
        </row>
        <row r="404">
          <cell r="D404">
            <v>14</v>
          </cell>
          <cell r="E404" t="str">
            <v>-</v>
          </cell>
          <cell r="F404" t="str">
            <v>-</v>
          </cell>
          <cell r="G404">
            <v>0</v>
          </cell>
          <cell r="H404">
            <v>0</v>
          </cell>
          <cell r="I404">
            <v>0</v>
          </cell>
        </row>
        <row r="405">
          <cell r="D405">
            <v>15</v>
          </cell>
          <cell r="E405" t="str">
            <v>-</v>
          </cell>
          <cell r="F405" t="str">
            <v>-</v>
          </cell>
          <cell r="G405">
            <v>0</v>
          </cell>
          <cell r="H405">
            <v>0</v>
          </cell>
          <cell r="I405">
            <v>0</v>
          </cell>
        </row>
        <row r="406">
          <cell r="D406">
            <v>16</v>
          </cell>
          <cell r="E406" t="str">
            <v>-</v>
          </cell>
          <cell r="F406" t="str">
            <v>-</v>
          </cell>
          <cell r="G406">
            <v>0</v>
          </cell>
          <cell r="H406">
            <v>0</v>
          </cell>
          <cell r="I406">
            <v>0</v>
          </cell>
        </row>
        <row r="407">
          <cell r="D407">
            <v>17</v>
          </cell>
          <cell r="E407" t="str">
            <v>-</v>
          </cell>
          <cell r="F407" t="str">
            <v>-</v>
          </cell>
          <cell r="G407">
            <v>0</v>
          </cell>
          <cell r="H407">
            <v>0</v>
          </cell>
          <cell r="I407">
            <v>0</v>
          </cell>
        </row>
        <row r="408">
          <cell r="D408">
            <v>18</v>
          </cell>
          <cell r="E408" t="str">
            <v>-</v>
          </cell>
          <cell r="F408" t="str">
            <v>-</v>
          </cell>
          <cell r="G408">
            <v>0</v>
          </cell>
          <cell r="H408">
            <v>0</v>
          </cell>
          <cell r="I408">
            <v>0</v>
          </cell>
        </row>
        <row r="409">
          <cell r="D409">
            <v>19</v>
          </cell>
          <cell r="E409" t="str">
            <v>-</v>
          </cell>
          <cell r="F409" t="str">
            <v>-</v>
          </cell>
          <cell r="G409">
            <v>0</v>
          </cell>
          <cell r="H409">
            <v>0</v>
          </cell>
          <cell r="I409">
            <v>0</v>
          </cell>
        </row>
        <row r="410">
          <cell r="D410">
            <v>20</v>
          </cell>
          <cell r="E410" t="str">
            <v>-</v>
          </cell>
          <cell r="F410" t="str">
            <v>-</v>
          </cell>
          <cell r="G410">
            <v>0</v>
          </cell>
          <cell r="H410">
            <v>0</v>
          </cell>
          <cell r="I410">
            <v>0</v>
          </cell>
        </row>
        <row r="411">
          <cell r="B411" t="str">
            <v>MA009</v>
          </cell>
          <cell r="D411">
            <v>0</v>
          </cell>
          <cell r="E411" t="str">
            <v>SUB TOTAL MATERIALES</v>
          </cell>
          <cell r="F411">
            <v>0</v>
          </cell>
          <cell r="G411">
            <v>0</v>
          </cell>
          <cell r="H411">
            <v>0</v>
          </cell>
          <cell r="I411">
            <v>11500</v>
          </cell>
        </row>
        <row r="412">
          <cell r="D412">
            <v>0</v>
          </cell>
          <cell r="E412" t="str">
            <v>B- MANO DE OBRA: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</row>
        <row r="413">
          <cell r="D413">
            <v>1</v>
          </cell>
          <cell r="E413" t="str">
            <v>Oficial</v>
          </cell>
          <cell r="F413" t="str">
            <v>hs</v>
          </cell>
          <cell r="G413">
            <v>79.396129375000001</v>
          </cell>
          <cell r="H413">
            <v>6</v>
          </cell>
          <cell r="I413">
            <v>476.37677625000003</v>
          </cell>
        </row>
        <row r="414">
          <cell r="D414">
            <v>2</v>
          </cell>
          <cell r="E414" t="str">
            <v>Ayudante</v>
          </cell>
          <cell r="F414" t="str">
            <v>hs</v>
          </cell>
          <cell r="G414">
            <v>68.347731499999995</v>
          </cell>
          <cell r="H414">
            <v>2.1159915709857877</v>
          </cell>
          <cell r="I414">
            <v>144.6232237499998</v>
          </cell>
        </row>
        <row r="415">
          <cell r="D415">
            <v>3</v>
          </cell>
          <cell r="E415" t="str">
            <v>-</v>
          </cell>
          <cell r="F415" t="str">
            <v>hs</v>
          </cell>
          <cell r="G415">
            <v>0</v>
          </cell>
          <cell r="H415">
            <v>0</v>
          </cell>
          <cell r="I415">
            <v>0</v>
          </cell>
        </row>
        <row r="416">
          <cell r="D416">
            <v>4</v>
          </cell>
          <cell r="E416" t="str">
            <v>-</v>
          </cell>
          <cell r="F416" t="str">
            <v>hs</v>
          </cell>
          <cell r="G416">
            <v>0</v>
          </cell>
          <cell r="H416">
            <v>0</v>
          </cell>
          <cell r="I416">
            <v>0</v>
          </cell>
        </row>
        <row r="417">
          <cell r="D417">
            <v>5</v>
          </cell>
          <cell r="E417" t="str">
            <v>-</v>
          </cell>
          <cell r="F417" t="str">
            <v>hs</v>
          </cell>
          <cell r="G417">
            <v>0</v>
          </cell>
          <cell r="H417">
            <v>0</v>
          </cell>
          <cell r="I417">
            <v>0</v>
          </cell>
        </row>
        <row r="418">
          <cell r="B418" t="str">
            <v>MO009</v>
          </cell>
          <cell r="D418">
            <v>0</v>
          </cell>
          <cell r="E418" t="str">
            <v>SUB TOTAL MANO DE OBRA</v>
          </cell>
          <cell r="F418">
            <v>0</v>
          </cell>
          <cell r="G418">
            <v>0</v>
          </cell>
          <cell r="H418">
            <v>0</v>
          </cell>
          <cell r="I418">
            <v>620.99999999999977</v>
          </cell>
        </row>
        <row r="419">
          <cell r="D419">
            <v>0</v>
          </cell>
          <cell r="E419" t="str">
            <v>C- EQUIPOS: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</row>
        <row r="420">
          <cell r="D420">
            <v>1</v>
          </cell>
          <cell r="E420" t="str">
            <v>Herramientas de Mano</v>
          </cell>
          <cell r="F420" t="str">
            <v>gl</v>
          </cell>
          <cell r="G420">
            <v>363.63</v>
          </cell>
          <cell r="H420">
            <v>1</v>
          </cell>
          <cell r="I420">
            <v>363.63</v>
          </cell>
        </row>
        <row r="421">
          <cell r="D421">
            <v>2</v>
          </cell>
          <cell r="E421" t="str">
            <v>-</v>
          </cell>
          <cell r="F421" t="str">
            <v>-</v>
          </cell>
          <cell r="G421">
            <v>0</v>
          </cell>
          <cell r="H421">
            <v>0</v>
          </cell>
          <cell r="I421">
            <v>0</v>
          </cell>
        </row>
        <row r="422">
          <cell r="D422">
            <v>3</v>
          </cell>
          <cell r="E422" t="str">
            <v>-</v>
          </cell>
          <cell r="F422" t="str">
            <v>-</v>
          </cell>
          <cell r="G422">
            <v>0</v>
          </cell>
          <cell r="H422">
            <v>0</v>
          </cell>
          <cell r="I422">
            <v>0</v>
          </cell>
        </row>
        <row r="423">
          <cell r="D423">
            <v>4</v>
          </cell>
          <cell r="E423" t="str">
            <v>-</v>
          </cell>
          <cell r="F423" t="str">
            <v>-</v>
          </cell>
          <cell r="G423">
            <v>0</v>
          </cell>
          <cell r="H423">
            <v>0</v>
          </cell>
          <cell r="I423">
            <v>0</v>
          </cell>
        </row>
        <row r="424">
          <cell r="D424">
            <v>5</v>
          </cell>
          <cell r="E424" t="str">
            <v>-</v>
          </cell>
          <cell r="F424" t="str">
            <v>-</v>
          </cell>
          <cell r="G424">
            <v>0</v>
          </cell>
          <cell r="H424">
            <v>0</v>
          </cell>
          <cell r="I424">
            <v>0</v>
          </cell>
        </row>
        <row r="425">
          <cell r="B425" t="str">
            <v>E009</v>
          </cell>
          <cell r="D425">
            <v>0</v>
          </cell>
          <cell r="E425" t="str">
            <v>SUB TOTAL EQUIPOS</v>
          </cell>
          <cell r="F425">
            <v>0</v>
          </cell>
          <cell r="G425">
            <v>0</v>
          </cell>
          <cell r="H425">
            <v>0</v>
          </cell>
          <cell r="I425">
            <v>363.63</v>
          </cell>
        </row>
        <row r="426"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</row>
        <row r="427">
          <cell r="B427" t="str">
            <v>TR009</v>
          </cell>
          <cell r="C427">
            <v>9</v>
          </cell>
          <cell r="D427">
            <v>0</v>
          </cell>
          <cell r="E427" t="str">
            <v>COSTO (A+B+C+D)</v>
          </cell>
          <cell r="F427">
            <v>0</v>
          </cell>
          <cell r="G427">
            <v>0</v>
          </cell>
          <cell r="H427">
            <v>0</v>
          </cell>
          <cell r="I427">
            <v>12484.63</v>
          </cell>
        </row>
        <row r="428"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</row>
        <row r="429"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</row>
        <row r="430">
          <cell r="D430">
            <v>0</v>
          </cell>
          <cell r="E430" t="str">
            <v>Rubro:</v>
          </cell>
          <cell r="F430" t="str">
            <v>01</v>
          </cell>
          <cell r="G430" t="str">
            <v>INSTALACIÓN REDES DE GAS</v>
          </cell>
          <cell r="H430" t="e">
            <v>#NAME?</v>
          </cell>
          <cell r="I430" t="e">
            <v>#NAME?</v>
          </cell>
        </row>
        <row r="431">
          <cell r="D431">
            <v>0</v>
          </cell>
          <cell r="E431" t="str">
            <v>Sub Rubro:</v>
          </cell>
          <cell r="F431" t="str">
            <v>01.10</v>
          </cell>
          <cell r="G431" t="str">
            <v>Cerco Perimetral</v>
          </cell>
          <cell r="H431" t="e">
            <v>#NAME?</v>
          </cell>
          <cell r="I431" t="e">
            <v>#NAME?</v>
          </cell>
        </row>
        <row r="432">
          <cell r="D432">
            <v>0</v>
          </cell>
          <cell r="E432" t="str">
            <v>Ítem:</v>
          </cell>
          <cell r="F432" t="str">
            <v>01.10</v>
          </cell>
          <cell r="G432" t="str">
            <v>Cerco Perimetral</v>
          </cell>
          <cell r="H432" t="e">
            <v>#NAME?</v>
          </cell>
          <cell r="I432" t="e">
            <v>#NAME?</v>
          </cell>
        </row>
        <row r="433">
          <cell r="D433">
            <v>0</v>
          </cell>
          <cell r="E433" t="str">
            <v>Unida:</v>
          </cell>
          <cell r="F433" t="str">
            <v>gl</v>
          </cell>
          <cell r="G433">
            <v>0</v>
          </cell>
          <cell r="H433">
            <v>0</v>
          </cell>
          <cell r="I433">
            <v>0</v>
          </cell>
        </row>
        <row r="434">
          <cell r="D434">
            <v>0</v>
          </cell>
          <cell r="E434" t="str">
            <v>DENOMINACION</v>
          </cell>
          <cell r="F434" t="str">
            <v>UNIDAD</v>
          </cell>
          <cell r="G434" t="str">
            <v>COSTO UNITARIO</v>
          </cell>
          <cell r="H434" t="str">
            <v>RENDIMIENTO POR UNIDAD</v>
          </cell>
          <cell r="I434" t="str">
            <v>COSTO PARCIAL</v>
          </cell>
        </row>
        <row r="435">
          <cell r="D435">
            <v>0</v>
          </cell>
          <cell r="E435" t="str">
            <v>A- MATERIALES: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</row>
        <row r="436">
          <cell r="D436">
            <v>1</v>
          </cell>
          <cell r="E436" t="str">
            <v>Cemento Normal</v>
          </cell>
          <cell r="F436" t="str">
            <v>kg</v>
          </cell>
          <cell r="G436">
            <v>1.5113471074380165</v>
          </cell>
          <cell r="H436">
            <v>900</v>
          </cell>
          <cell r="I436">
            <v>1360.2123966942149</v>
          </cell>
        </row>
        <row r="437">
          <cell r="D437">
            <v>2</v>
          </cell>
          <cell r="E437" t="str">
            <v>Arena Mediana</v>
          </cell>
          <cell r="F437" t="str">
            <v>m³</v>
          </cell>
          <cell r="G437">
            <v>133.05785123966942</v>
          </cell>
          <cell r="H437">
            <v>2</v>
          </cell>
          <cell r="I437">
            <v>266.11570247933884</v>
          </cell>
        </row>
        <row r="438">
          <cell r="D438">
            <v>3</v>
          </cell>
          <cell r="E438" t="str">
            <v>Ripio</v>
          </cell>
          <cell r="F438" t="str">
            <v>m³</v>
          </cell>
          <cell r="G438">
            <v>109.24999999999999</v>
          </cell>
          <cell r="H438">
            <v>2</v>
          </cell>
          <cell r="I438">
            <v>218.49999999999997</v>
          </cell>
        </row>
        <row r="439">
          <cell r="D439">
            <v>4</v>
          </cell>
          <cell r="E439" t="str">
            <v>-</v>
          </cell>
          <cell r="F439" t="str">
            <v>-</v>
          </cell>
          <cell r="G439">
            <v>0</v>
          </cell>
          <cell r="H439">
            <v>0</v>
          </cell>
          <cell r="I439">
            <v>0</v>
          </cell>
        </row>
        <row r="440">
          <cell r="D440">
            <v>5</v>
          </cell>
          <cell r="E440" t="str">
            <v>Poste Cemento</v>
          </cell>
          <cell r="F440" t="str">
            <v>u</v>
          </cell>
          <cell r="G440">
            <v>127.64999999999999</v>
          </cell>
          <cell r="H440">
            <v>8</v>
          </cell>
          <cell r="I440">
            <v>1021.1999999999999</v>
          </cell>
        </row>
        <row r="441">
          <cell r="D441">
            <v>6</v>
          </cell>
          <cell r="E441" t="str">
            <v>Alambre Romboidal x 15 mts</v>
          </cell>
          <cell r="F441" t="str">
            <v>u</v>
          </cell>
          <cell r="G441">
            <v>1278.8</v>
          </cell>
          <cell r="H441">
            <v>2</v>
          </cell>
          <cell r="I441">
            <v>2557.6</v>
          </cell>
        </row>
        <row r="442">
          <cell r="D442">
            <v>7</v>
          </cell>
          <cell r="E442" t="str">
            <v>Torniquete</v>
          </cell>
          <cell r="F442" t="str">
            <v>u</v>
          </cell>
          <cell r="G442">
            <v>24.15</v>
          </cell>
          <cell r="H442">
            <v>6</v>
          </cell>
          <cell r="I442">
            <v>144.89999999999998</v>
          </cell>
        </row>
        <row r="443">
          <cell r="D443">
            <v>8</v>
          </cell>
          <cell r="E443" t="str">
            <v>Alambre Galvanizado N° 14</v>
          </cell>
          <cell r="F443" t="str">
            <v>kg</v>
          </cell>
          <cell r="G443">
            <v>27.599999999999998</v>
          </cell>
          <cell r="H443">
            <v>30</v>
          </cell>
          <cell r="I443">
            <v>827.99999999999989</v>
          </cell>
        </row>
        <row r="444">
          <cell r="D444">
            <v>9</v>
          </cell>
          <cell r="E444" t="str">
            <v>-</v>
          </cell>
          <cell r="F444" t="str">
            <v>-</v>
          </cell>
          <cell r="G444">
            <v>0</v>
          </cell>
          <cell r="H444">
            <v>0</v>
          </cell>
          <cell r="I444">
            <v>0</v>
          </cell>
        </row>
        <row r="445">
          <cell r="D445">
            <v>10</v>
          </cell>
          <cell r="E445" t="str">
            <v>Accesorios</v>
          </cell>
          <cell r="F445" t="str">
            <v>gl</v>
          </cell>
          <cell r="G445">
            <v>575</v>
          </cell>
          <cell r="H445">
            <v>2</v>
          </cell>
          <cell r="I445">
            <v>1150</v>
          </cell>
        </row>
        <row r="446">
          <cell r="D446">
            <v>11</v>
          </cell>
          <cell r="E446" t="str">
            <v>-</v>
          </cell>
          <cell r="F446" t="str">
            <v>-</v>
          </cell>
          <cell r="G446">
            <v>0</v>
          </cell>
          <cell r="H446">
            <v>0</v>
          </cell>
          <cell r="I446">
            <v>0</v>
          </cell>
        </row>
        <row r="447">
          <cell r="D447">
            <v>12</v>
          </cell>
          <cell r="E447" t="str">
            <v>-</v>
          </cell>
          <cell r="F447" t="str">
            <v>-</v>
          </cell>
          <cell r="G447">
            <v>0</v>
          </cell>
          <cell r="H447">
            <v>0</v>
          </cell>
          <cell r="I447">
            <v>0</v>
          </cell>
        </row>
        <row r="448">
          <cell r="D448">
            <v>13</v>
          </cell>
          <cell r="E448" t="str">
            <v>-</v>
          </cell>
          <cell r="F448" t="str">
            <v>-</v>
          </cell>
          <cell r="G448">
            <v>0</v>
          </cell>
          <cell r="H448">
            <v>0</v>
          </cell>
          <cell r="I448">
            <v>0</v>
          </cell>
        </row>
        <row r="449">
          <cell r="D449">
            <v>14</v>
          </cell>
          <cell r="E449" t="str">
            <v>-</v>
          </cell>
          <cell r="F449" t="str">
            <v>-</v>
          </cell>
          <cell r="G449">
            <v>0</v>
          </cell>
          <cell r="H449">
            <v>0</v>
          </cell>
          <cell r="I449">
            <v>0</v>
          </cell>
        </row>
        <row r="450">
          <cell r="D450">
            <v>15</v>
          </cell>
          <cell r="E450" t="str">
            <v>-</v>
          </cell>
          <cell r="F450" t="str">
            <v>-</v>
          </cell>
          <cell r="G450">
            <v>0</v>
          </cell>
          <cell r="H450">
            <v>0</v>
          </cell>
          <cell r="I450">
            <v>0</v>
          </cell>
        </row>
        <row r="451">
          <cell r="D451">
            <v>16</v>
          </cell>
          <cell r="E451" t="str">
            <v>-</v>
          </cell>
          <cell r="F451" t="str">
            <v>-</v>
          </cell>
          <cell r="G451">
            <v>0</v>
          </cell>
          <cell r="H451">
            <v>0</v>
          </cell>
          <cell r="I451">
            <v>0</v>
          </cell>
        </row>
        <row r="452">
          <cell r="D452">
            <v>17</v>
          </cell>
          <cell r="E452" t="str">
            <v>-</v>
          </cell>
          <cell r="F452" t="str">
            <v>-</v>
          </cell>
          <cell r="G452">
            <v>0</v>
          </cell>
          <cell r="H452">
            <v>0</v>
          </cell>
          <cell r="I452">
            <v>0</v>
          </cell>
        </row>
        <row r="453">
          <cell r="D453">
            <v>18</v>
          </cell>
          <cell r="E453" t="str">
            <v>-</v>
          </cell>
          <cell r="F453" t="str">
            <v>-</v>
          </cell>
          <cell r="G453">
            <v>0</v>
          </cell>
          <cell r="H453">
            <v>0</v>
          </cell>
          <cell r="I453">
            <v>0</v>
          </cell>
        </row>
        <row r="454">
          <cell r="D454">
            <v>19</v>
          </cell>
          <cell r="E454" t="str">
            <v>-</v>
          </cell>
          <cell r="F454" t="str">
            <v>-</v>
          </cell>
          <cell r="G454">
            <v>0</v>
          </cell>
          <cell r="H454">
            <v>0</v>
          </cell>
          <cell r="I454">
            <v>0</v>
          </cell>
        </row>
        <row r="455">
          <cell r="D455">
            <v>20</v>
          </cell>
          <cell r="E455" t="str">
            <v>-</v>
          </cell>
          <cell r="F455" t="str">
            <v>-</v>
          </cell>
          <cell r="G455">
            <v>0</v>
          </cell>
          <cell r="H455">
            <v>0</v>
          </cell>
          <cell r="I455">
            <v>0</v>
          </cell>
        </row>
        <row r="456">
          <cell r="B456" t="str">
            <v>MA010</v>
          </cell>
          <cell r="D456">
            <v>0</v>
          </cell>
          <cell r="E456" t="str">
            <v>SUB TOTAL MATERIALES</v>
          </cell>
          <cell r="F456">
            <v>0</v>
          </cell>
          <cell r="G456">
            <v>0</v>
          </cell>
          <cell r="H456">
            <v>0</v>
          </cell>
          <cell r="I456">
            <v>7546.5280991735526</v>
          </cell>
        </row>
        <row r="457">
          <cell r="D457">
            <v>0</v>
          </cell>
          <cell r="E457" t="str">
            <v>B- MANO DE OBRA: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</row>
        <row r="458">
          <cell r="D458">
            <v>1</v>
          </cell>
          <cell r="E458" t="str">
            <v>Oficial</v>
          </cell>
          <cell r="F458" t="str">
            <v>hs</v>
          </cell>
          <cell r="G458">
            <v>79.396129375000001</v>
          </cell>
          <cell r="H458">
            <v>30</v>
          </cell>
          <cell r="I458">
            <v>2381.8838812499998</v>
          </cell>
        </row>
        <row r="459">
          <cell r="D459">
            <v>2</v>
          </cell>
          <cell r="E459" t="str">
            <v>Ayudante</v>
          </cell>
          <cell r="F459" t="str">
            <v>hs</v>
          </cell>
          <cell r="G459">
            <v>68.347731499999995</v>
          </cell>
          <cell r="H459">
            <v>28.751738728153697</v>
          </cell>
          <cell r="I459">
            <v>1965.1161187500002</v>
          </cell>
        </row>
        <row r="460">
          <cell r="D460">
            <v>3</v>
          </cell>
          <cell r="E460" t="str">
            <v>-</v>
          </cell>
          <cell r="F460" t="str">
            <v>hs</v>
          </cell>
          <cell r="G460">
            <v>0</v>
          </cell>
          <cell r="H460">
            <v>0</v>
          </cell>
          <cell r="I460">
            <v>0</v>
          </cell>
        </row>
        <row r="461">
          <cell r="D461">
            <v>4</v>
          </cell>
          <cell r="E461" t="str">
            <v>-</v>
          </cell>
          <cell r="F461" t="str">
            <v>hs</v>
          </cell>
          <cell r="G461">
            <v>0</v>
          </cell>
          <cell r="H461">
            <v>0</v>
          </cell>
          <cell r="I461">
            <v>0</v>
          </cell>
        </row>
        <row r="462">
          <cell r="D462">
            <v>5</v>
          </cell>
          <cell r="E462" t="str">
            <v>-</v>
          </cell>
          <cell r="F462" t="str">
            <v>hs</v>
          </cell>
          <cell r="G462">
            <v>0</v>
          </cell>
          <cell r="H462">
            <v>0</v>
          </cell>
          <cell r="I462">
            <v>0</v>
          </cell>
        </row>
        <row r="463">
          <cell r="B463" t="str">
            <v>MO010</v>
          </cell>
          <cell r="D463">
            <v>0</v>
          </cell>
          <cell r="E463" t="str">
            <v>SUB TOTAL MANO DE OBRA</v>
          </cell>
          <cell r="F463">
            <v>0</v>
          </cell>
          <cell r="G463">
            <v>0</v>
          </cell>
          <cell r="H463">
            <v>0</v>
          </cell>
          <cell r="I463">
            <v>4347</v>
          </cell>
        </row>
        <row r="464">
          <cell r="D464">
            <v>0</v>
          </cell>
          <cell r="E464" t="str">
            <v>C- EQUIPOS: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</row>
        <row r="465">
          <cell r="D465">
            <v>1</v>
          </cell>
          <cell r="E465" t="str">
            <v>Herramientas de Mano</v>
          </cell>
          <cell r="F465" t="str">
            <v>gl</v>
          </cell>
          <cell r="G465">
            <v>356.80584297520659</v>
          </cell>
          <cell r="H465">
            <v>1</v>
          </cell>
          <cell r="I465">
            <v>356.80584297520659</v>
          </cell>
        </row>
        <row r="466">
          <cell r="D466">
            <v>2</v>
          </cell>
          <cell r="E466" t="str">
            <v>-</v>
          </cell>
          <cell r="F466" t="str">
            <v>-</v>
          </cell>
          <cell r="G466">
            <v>0</v>
          </cell>
          <cell r="H466">
            <v>0</v>
          </cell>
          <cell r="I466">
            <v>0</v>
          </cell>
        </row>
        <row r="467">
          <cell r="D467">
            <v>3</v>
          </cell>
          <cell r="E467" t="str">
            <v>-</v>
          </cell>
          <cell r="F467" t="str">
            <v>-</v>
          </cell>
          <cell r="G467">
            <v>0</v>
          </cell>
          <cell r="H467">
            <v>0</v>
          </cell>
          <cell r="I467">
            <v>0</v>
          </cell>
        </row>
        <row r="468">
          <cell r="D468">
            <v>4</v>
          </cell>
          <cell r="E468" t="str">
            <v>-</v>
          </cell>
          <cell r="F468" t="str">
            <v>-</v>
          </cell>
          <cell r="G468">
            <v>0</v>
          </cell>
          <cell r="H468">
            <v>0</v>
          </cell>
          <cell r="I468">
            <v>0</v>
          </cell>
        </row>
        <row r="469">
          <cell r="D469">
            <v>5</v>
          </cell>
          <cell r="E469" t="str">
            <v>-</v>
          </cell>
          <cell r="F469" t="str">
            <v>-</v>
          </cell>
          <cell r="G469">
            <v>0</v>
          </cell>
          <cell r="H469">
            <v>0</v>
          </cell>
          <cell r="I469">
            <v>0</v>
          </cell>
        </row>
        <row r="470">
          <cell r="B470" t="str">
            <v>E010</v>
          </cell>
          <cell r="D470">
            <v>0</v>
          </cell>
          <cell r="E470" t="str">
            <v>SUB TOTAL EQUIPOS</v>
          </cell>
          <cell r="F470">
            <v>0</v>
          </cell>
          <cell r="G470">
            <v>0</v>
          </cell>
          <cell r="H470">
            <v>0</v>
          </cell>
          <cell r="I470">
            <v>356.80584297520659</v>
          </cell>
        </row>
        <row r="471"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</row>
        <row r="472">
          <cell r="B472" t="str">
            <v>TR010</v>
          </cell>
          <cell r="C472">
            <v>10</v>
          </cell>
          <cell r="D472">
            <v>0</v>
          </cell>
          <cell r="E472" t="str">
            <v>COSTO (A+B+C+D)</v>
          </cell>
          <cell r="F472">
            <v>0</v>
          </cell>
          <cell r="G472">
            <v>0</v>
          </cell>
          <cell r="H472">
            <v>0</v>
          </cell>
          <cell r="I472">
            <v>12250.33394214876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</row>
      </sheetData>
      <sheetData sheetId="3">
        <row r="27">
          <cell r="I27">
            <v>66733.150745867766</v>
          </cell>
        </row>
      </sheetData>
      <sheetData sheetId="4"/>
      <sheetData sheetId="5" refreshError="1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ES"/>
      <sheetName val="VALORES"/>
      <sheetName val="ANALISIS DE PRECIOS"/>
      <sheetName val="computo y presup"/>
      <sheetName val="PLan de trabajo"/>
      <sheetName val="PLan de trabajo (2)"/>
      <sheetName val="PLan de trabajo Solo"/>
      <sheetName val="Gráfico1"/>
      <sheetName val="GAstos Generales"/>
      <sheetName val="Datos Cuva"/>
      <sheetName val="GG"/>
      <sheetName val="ANALISIS DE PRECIOS PRE"/>
      <sheetName val="computo y presup PRE"/>
      <sheetName val="Planilla de pago"/>
      <sheetName val="ANALISIS DE PRECIOS (2)"/>
      <sheetName val="Hoja1"/>
    </sheetNames>
    <sheetDataSet>
      <sheetData sheetId="0">
        <row r="1">
          <cell r="A1" t="str">
            <v>M1</v>
          </cell>
          <cell r="B1" t="str">
            <v>accesorios</v>
          </cell>
          <cell r="C1" t="str">
            <v>gl</v>
          </cell>
          <cell r="D1">
            <v>0.3</v>
          </cell>
        </row>
        <row r="2">
          <cell r="A2" t="str">
            <v>M2</v>
          </cell>
          <cell r="B2" t="str">
            <v>accesorios</v>
          </cell>
          <cell r="C2" t="str">
            <v>gl</v>
          </cell>
          <cell r="D2">
            <v>18</v>
          </cell>
        </row>
        <row r="3">
          <cell r="A3" t="str">
            <v>M3</v>
          </cell>
          <cell r="B3" t="str">
            <v>accesorios</v>
          </cell>
          <cell r="C3" t="str">
            <v>gl</v>
          </cell>
          <cell r="D3">
            <v>0.36</v>
          </cell>
        </row>
        <row r="4">
          <cell r="A4" t="str">
            <v>M4</v>
          </cell>
          <cell r="B4" t="str">
            <v>accesorios</v>
          </cell>
          <cell r="C4" t="str">
            <v>gl</v>
          </cell>
          <cell r="D4">
            <v>36</v>
          </cell>
        </row>
        <row r="5">
          <cell r="A5" t="str">
            <v>M5</v>
          </cell>
          <cell r="B5" t="str">
            <v>accesorios losa</v>
          </cell>
          <cell r="C5" t="str">
            <v>gl</v>
          </cell>
          <cell r="D5">
            <v>60</v>
          </cell>
        </row>
        <row r="6">
          <cell r="A6" t="str">
            <v>M6</v>
          </cell>
          <cell r="B6" t="str">
            <v>accesorios pintura</v>
          </cell>
          <cell r="C6" t="str">
            <v>gl</v>
          </cell>
          <cell r="D6">
            <v>0.78</v>
          </cell>
        </row>
        <row r="7">
          <cell r="A7" t="str">
            <v>M7</v>
          </cell>
          <cell r="B7" t="str">
            <v>accesorios varios</v>
          </cell>
          <cell r="C7" t="str">
            <v>gl</v>
          </cell>
          <cell r="D7">
            <v>48</v>
          </cell>
        </row>
        <row r="8">
          <cell r="A8" t="str">
            <v>M8</v>
          </cell>
          <cell r="B8" t="str">
            <v>accesorios varios</v>
          </cell>
          <cell r="C8" t="str">
            <v>gl</v>
          </cell>
          <cell r="D8">
            <v>175.2</v>
          </cell>
        </row>
        <row r="9">
          <cell r="A9" t="str">
            <v>M9</v>
          </cell>
          <cell r="B9" t="str">
            <v>alambre</v>
          </cell>
          <cell r="C9" t="str">
            <v>kg</v>
          </cell>
          <cell r="D9">
            <v>5.94</v>
          </cell>
        </row>
        <row r="10">
          <cell r="A10" t="str">
            <v>M10</v>
          </cell>
          <cell r="B10" t="str">
            <v>alfagias</v>
          </cell>
          <cell r="C10" t="str">
            <v>gl</v>
          </cell>
          <cell r="D10">
            <v>4.5</v>
          </cell>
        </row>
        <row r="11">
          <cell r="A11" t="str">
            <v>M11</v>
          </cell>
          <cell r="B11" t="str">
            <v>antioxido y base</v>
          </cell>
          <cell r="C11" t="str">
            <v>gl</v>
          </cell>
          <cell r="D11">
            <v>2.2999999999999998</v>
          </cell>
        </row>
        <row r="12">
          <cell r="A12" t="str">
            <v>M12</v>
          </cell>
          <cell r="B12" t="str">
            <v>arena</v>
          </cell>
          <cell r="C12" t="str">
            <v>m3</v>
          </cell>
          <cell r="D12">
            <v>65</v>
          </cell>
        </row>
        <row r="13">
          <cell r="A13" t="str">
            <v>M13</v>
          </cell>
          <cell r="B13" t="str">
            <v>arena fina</v>
          </cell>
          <cell r="C13" t="str">
            <v>m3</v>
          </cell>
          <cell r="D13">
            <v>65</v>
          </cell>
        </row>
        <row r="14">
          <cell r="A14" t="str">
            <v>M14</v>
          </cell>
          <cell r="B14" t="str">
            <v>ayudante</v>
          </cell>
          <cell r="C14" t="str">
            <v>hs</v>
          </cell>
          <cell r="D14">
            <v>23.29</v>
          </cell>
        </row>
        <row r="15">
          <cell r="A15" t="str">
            <v>M15</v>
          </cell>
          <cell r="B15" t="str">
            <v>bajada tanque</v>
          </cell>
          <cell r="C15" t="str">
            <v>gl</v>
          </cell>
          <cell r="D15">
            <v>160</v>
          </cell>
        </row>
        <row r="16">
          <cell r="A16" t="str">
            <v>M16</v>
          </cell>
          <cell r="B16" t="str">
            <v>bajomesada</v>
          </cell>
          <cell r="C16" t="str">
            <v>gl</v>
          </cell>
          <cell r="D16">
            <v>136</v>
          </cell>
        </row>
        <row r="17">
          <cell r="A17" t="str">
            <v>M17</v>
          </cell>
          <cell r="B17" t="str">
            <v>banderola</v>
          </cell>
          <cell r="C17" t="str">
            <v>u</v>
          </cell>
          <cell r="D17">
            <v>118.008</v>
          </cell>
        </row>
        <row r="18">
          <cell r="A18" t="str">
            <v>M18</v>
          </cell>
          <cell r="B18" t="str">
            <v>cableado y llaves</v>
          </cell>
          <cell r="C18" t="str">
            <v>gl</v>
          </cell>
          <cell r="D18">
            <v>512</v>
          </cell>
        </row>
        <row r="19">
          <cell r="A19" t="str">
            <v>M19</v>
          </cell>
          <cell r="B19" t="str">
            <v>cal</v>
          </cell>
          <cell r="C19" t="str">
            <v>kg</v>
          </cell>
          <cell r="D19">
            <v>0.28333333333333333</v>
          </cell>
        </row>
        <row r="20">
          <cell r="A20" t="str">
            <v>M20</v>
          </cell>
          <cell r="B20" t="str">
            <v>calefon a leña</v>
          </cell>
          <cell r="C20" t="str">
            <v xml:space="preserve">u </v>
          </cell>
          <cell r="D20">
            <v>360</v>
          </cell>
        </row>
        <row r="21">
          <cell r="A21" t="str">
            <v>M21</v>
          </cell>
          <cell r="B21" t="str">
            <v>camara de inspeccion</v>
          </cell>
          <cell r="C21" t="str">
            <v>gl</v>
          </cell>
          <cell r="D21">
            <v>75</v>
          </cell>
        </row>
        <row r="22">
          <cell r="A22" t="str">
            <v>M22</v>
          </cell>
          <cell r="B22" t="str">
            <v>camara septica</v>
          </cell>
          <cell r="D22">
            <v>0</v>
          </cell>
        </row>
        <row r="23">
          <cell r="A23" t="str">
            <v>M23</v>
          </cell>
          <cell r="B23" t="str">
            <v>campana</v>
          </cell>
          <cell r="C23" t="str">
            <v>gl</v>
          </cell>
          <cell r="D23">
            <v>153</v>
          </cell>
        </row>
        <row r="24">
          <cell r="A24" t="str">
            <v>M24</v>
          </cell>
          <cell r="B24" t="str">
            <v>cañeria fusion agua fria y caliente y accesorios</v>
          </cell>
          <cell r="C24" t="str">
            <v>gl</v>
          </cell>
          <cell r="D24">
            <v>297</v>
          </cell>
        </row>
        <row r="25">
          <cell r="A25" t="str">
            <v>M25</v>
          </cell>
          <cell r="B25" t="str">
            <v>cañeria de cloaca y accesorios</v>
          </cell>
          <cell r="C25" t="str">
            <v>gl</v>
          </cell>
          <cell r="D25">
            <v>472.63200000000001</v>
          </cell>
        </row>
        <row r="26">
          <cell r="A26" t="str">
            <v>M26</v>
          </cell>
          <cell r="B26" t="str">
            <v>cañeria losa</v>
          </cell>
          <cell r="C26" t="str">
            <v>gl</v>
          </cell>
          <cell r="D26">
            <v>332.84</v>
          </cell>
        </row>
        <row r="27">
          <cell r="A27" t="str">
            <v>M27</v>
          </cell>
          <cell r="B27" t="str">
            <v>cañeria pared</v>
          </cell>
          <cell r="C27" t="str">
            <v>gl</v>
          </cell>
          <cell r="D27">
            <v>367</v>
          </cell>
        </row>
        <row r="28">
          <cell r="A28" t="str">
            <v>M28</v>
          </cell>
          <cell r="B28" t="str">
            <v>caño de PVC 110</v>
          </cell>
          <cell r="C28" t="str">
            <v>ml</v>
          </cell>
          <cell r="D28">
            <v>8.75</v>
          </cell>
        </row>
        <row r="29">
          <cell r="A29" t="str">
            <v>M29</v>
          </cell>
          <cell r="B29" t="str">
            <v>caño galv 100</v>
          </cell>
          <cell r="C29" t="str">
            <v>ml</v>
          </cell>
          <cell r="D29">
            <v>16</v>
          </cell>
        </row>
        <row r="30">
          <cell r="A30" t="str">
            <v>M30</v>
          </cell>
          <cell r="B30" t="str">
            <v xml:space="preserve">cemento </v>
          </cell>
          <cell r="C30" t="str">
            <v>kg</v>
          </cell>
          <cell r="D30">
            <v>0.6</v>
          </cell>
        </row>
        <row r="31">
          <cell r="A31" t="str">
            <v>M31</v>
          </cell>
          <cell r="B31" t="str">
            <v>cemento de albañileria</v>
          </cell>
          <cell r="C31" t="str">
            <v>kg</v>
          </cell>
          <cell r="D31">
            <v>0.38</v>
          </cell>
        </row>
        <row r="32">
          <cell r="A32" t="str">
            <v>M32</v>
          </cell>
          <cell r="B32" t="str">
            <v>cemento puzolanico</v>
          </cell>
          <cell r="C32" t="str">
            <v>kg</v>
          </cell>
          <cell r="D32">
            <v>0.6</v>
          </cell>
        </row>
        <row r="33">
          <cell r="A33" t="str">
            <v>M33</v>
          </cell>
          <cell r="B33" t="str">
            <v>ceramico</v>
          </cell>
          <cell r="C33" t="str">
            <v>m2</v>
          </cell>
          <cell r="D33">
            <v>35</v>
          </cell>
        </row>
        <row r="34">
          <cell r="A34" t="str">
            <v>M34</v>
          </cell>
          <cell r="B34" t="str">
            <v>claraboya</v>
          </cell>
          <cell r="C34" t="str">
            <v xml:space="preserve">u </v>
          </cell>
          <cell r="D34">
            <v>0</v>
          </cell>
        </row>
        <row r="35">
          <cell r="A35" t="str">
            <v>M35</v>
          </cell>
          <cell r="B35" t="str">
            <v xml:space="preserve">clavos </v>
          </cell>
          <cell r="C35" t="str">
            <v>kg</v>
          </cell>
          <cell r="D35">
            <v>5.4</v>
          </cell>
        </row>
        <row r="36">
          <cell r="A36" t="str">
            <v>M36</v>
          </cell>
          <cell r="B36" t="str">
            <v>cocina 4 hornalla c/horno</v>
          </cell>
          <cell r="C36" t="str">
            <v>u</v>
          </cell>
          <cell r="D36">
            <v>890</v>
          </cell>
        </row>
        <row r="37">
          <cell r="A37" t="str">
            <v>M37</v>
          </cell>
          <cell r="B37" t="str">
            <v>compactador</v>
          </cell>
          <cell r="C37" t="str">
            <v>gl</v>
          </cell>
          <cell r="D37">
            <v>2.4</v>
          </cell>
        </row>
        <row r="38">
          <cell r="A38" t="str">
            <v>M38</v>
          </cell>
          <cell r="B38" t="str">
            <v>conductor retroexc.</v>
          </cell>
          <cell r="C38" t="str">
            <v>hs</v>
          </cell>
          <cell r="D38">
            <v>17.850000000000001</v>
          </cell>
        </row>
        <row r="39">
          <cell r="A39" t="str">
            <v>M39</v>
          </cell>
          <cell r="B39" t="str">
            <v>contenedores</v>
          </cell>
          <cell r="C39" t="str">
            <v>gl</v>
          </cell>
          <cell r="D39">
            <v>109.092</v>
          </cell>
        </row>
        <row r="40">
          <cell r="A40" t="str">
            <v>M40</v>
          </cell>
          <cell r="B40" t="str">
            <v>emulsion asfaltica</v>
          </cell>
          <cell r="C40" t="str">
            <v>gl</v>
          </cell>
          <cell r="D40">
            <v>1.1000000000000001</v>
          </cell>
        </row>
        <row r="41">
          <cell r="A41" t="str">
            <v>M41</v>
          </cell>
          <cell r="B41" t="str">
            <v>encofrado de columnas</v>
          </cell>
          <cell r="C41" t="str">
            <v>gl</v>
          </cell>
          <cell r="D41">
            <v>36</v>
          </cell>
        </row>
        <row r="42">
          <cell r="A42" t="str">
            <v>M42</v>
          </cell>
          <cell r="B42" t="str">
            <v>encofrado de vigas</v>
          </cell>
          <cell r="C42" t="str">
            <v>gl</v>
          </cell>
          <cell r="D42">
            <v>66</v>
          </cell>
        </row>
        <row r="43">
          <cell r="A43" t="str">
            <v>M43</v>
          </cell>
          <cell r="B43" t="str">
            <v>encofrado de antepechos</v>
          </cell>
          <cell r="C43" t="str">
            <v>gl</v>
          </cell>
          <cell r="D43">
            <v>24</v>
          </cell>
        </row>
        <row r="44">
          <cell r="A44" t="str">
            <v>M44</v>
          </cell>
          <cell r="B44" t="str">
            <v>encofrado</v>
          </cell>
          <cell r="C44" t="str">
            <v>gl</v>
          </cell>
          <cell r="D44">
            <v>45</v>
          </cell>
        </row>
        <row r="45">
          <cell r="A45" t="str">
            <v>M45</v>
          </cell>
          <cell r="B45" t="str">
            <v>encofrado tanque</v>
          </cell>
          <cell r="C45" t="str">
            <v>gl</v>
          </cell>
          <cell r="D45">
            <v>78</v>
          </cell>
        </row>
        <row r="46">
          <cell r="A46" t="str">
            <v>M46</v>
          </cell>
          <cell r="B46" t="str">
            <v>entonador</v>
          </cell>
          <cell r="C46" t="str">
            <v>gl</v>
          </cell>
          <cell r="D46">
            <v>0.6</v>
          </cell>
        </row>
        <row r="47">
          <cell r="A47" t="str">
            <v>M47</v>
          </cell>
          <cell r="B47" t="str">
            <v>excavadora</v>
          </cell>
          <cell r="C47" t="str">
            <v>hs</v>
          </cell>
          <cell r="D47">
            <v>66</v>
          </cell>
        </row>
        <row r="48">
          <cell r="A48" t="str">
            <v>M48</v>
          </cell>
          <cell r="B48" t="str">
            <v>fenolico encofrado</v>
          </cell>
          <cell r="C48" t="str">
            <v>gl</v>
          </cell>
          <cell r="D48">
            <v>55</v>
          </cell>
        </row>
        <row r="49">
          <cell r="A49" t="str">
            <v>M49</v>
          </cell>
          <cell r="B49" t="str">
            <v>fijador pintura</v>
          </cell>
          <cell r="C49" t="str">
            <v>gl</v>
          </cell>
          <cell r="D49">
            <v>0.3</v>
          </cell>
        </row>
        <row r="50">
          <cell r="A50" t="str">
            <v>M50</v>
          </cell>
          <cell r="B50" t="str">
            <v>film protector</v>
          </cell>
          <cell r="C50" t="str">
            <v>m2</v>
          </cell>
          <cell r="D50">
            <v>4.2</v>
          </cell>
        </row>
        <row r="51">
          <cell r="A51" t="str">
            <v>M51</v>
          </cell>
          <cell r="B51" t="str">
            <v>flete</v>
          </cell>
          <cell r="C51" t="str">
            <v>gl</v>
          </cell>
          <cell r="D51">
            <v>60</v>
          </cell>
        </row>
        <row r="52">
          <cell r="A52" t="str">
            <v>M52</v>
          </cell>
          <cell r="B52" t="str">
            <v>gabinete de gas</v>
          </cell>
          <cell r="C52" t="str">
            <v>u</v>
          </cell>
          <cell r="D52">
            <v>430</v>
          </cell>
        </row>
        <row r="53">
          <cell r="A53" t="str">
            <v>M53</v>
          </cell>
          <cell r="B53" t="str">
            <v>gargola</v>
          </cell>
          <cell r="C53" t="str">
            <v>u</v>
          </cell>
          <cell r="D53">
            <v>10.8</v>
          </cell>
        </row>
        <row r="54">
          <cell r="A54" t="str">
            <v>M54</v>
          </cell>
          <cell r="B54" t="str">
            <v>grancilla</v>
          </cell>
          <cell r="C54" t="str">
            <v>m3</v>
          </cell>
          <cell r="D54">
            <v>80</v>
          </cell>
        </row>
        <row r="55">
          <cell r="A55" t="str">
            <v>M55</v>
          </cell>
          <cell r="B55" t="str">
            <v>grava</v>
          </cell>
          <cell r="C55" t="str">
            <v>m3</v>
          </cell>
          <cell r="D55">
            <v>60</v>
          </cell>
        </row>
        <row r="56">
          <cell r="A56" t="str">
            <v>M56</v>
          </cell>
          <cell r="B56" t="str">
            <v>griferia pileta lavar y accesorios</v>
          </cell>
          <cell r="C56" t="str">
            <v>gl</v>
          </cell>
          <cell r="D56">
            <v>64.8</v>
          </cell>
        </row>
        <row r="57">
          <cell r="A57" t="str">
            <v>M57</v>
          </cell>
          <cell r="B57" t="str">
            <v>grua</v>
          </cell>
          <cell r="C57" t="str">
            <v>gl</v>
          </cell>
          <cell r="D57">
            <v>16.8</v>
          </cell>
        </row>
        <row r="58">
          <cell r="A58" t="str">
            <v>M58</v>
          </cell>
          <cell r="B58" t="str">
            <v>guinche</v>
          </cell>
          <cell r="C58" t="str">
            <v>gl</v>
          </cell>
          <cell r="D58">
            <v>0.84</v>
          </cell>
        </row>
        <row r="59">
          <cell r="A59" t="str">
            <v>M59</v>
          </cell>
          <cell r="B59" t="str">
            <v>herrajes</v>
          </cell>
          <cell r="C59" t="str">
            <v>gl</v>
          </cell>
          <cell r="D59">
            <v>236.46480000000003</v>
          </cell>
        </row>
        <row r="60">
          <cell r="A60" t="str">
            <v>M60</v>
          </cell>
          <cell r="B60" t="str">
            <v>hidrofugo</v>
          </cell>
          <cell r="C60" t="str">
            <v>lit</v>
          </cell>
          <cell r="D60">
            <v>1.3679999999999999</v>
          </cell>
        </row>
        <row r="61">
          <cell r="A61" t="str">
            <v>M61</v>
          </cell>
          <cell r="B61" t="str">
            <v>hierro</v>
          </cell>
          <cell r="C61" t="str">
            <v>kg</v>
          </cell>
          <cell r="D61">
            <v>5.5</v>
          </cell>
        </row>
        <row r="62">
          <cell r="A62" t="str">
            <v>M62</v>
          </cell>
          <cell r="B62" t="str">
            <v>hierro 6</v>
          </cell>
          <cell r="C62" t="str">
            <v>barra</v>
          </cell>
          <cell r="D62">
            <v>14.06</v>
          </cell>
        </row>
        <row r="63">
          <cell r="A63" t="str">
            <v>M63</v>
          </cell>
          <cell r="B63" t="str">
            <v>hierro losa</v>
          </cell>
          <cell r="C63" t="str">
            <v>kg</v>
          </cell>
          <cell r="D63">
            <v>5.73</v>
          </cell>
        </row>
        <row r="64">
          <cell r="A64" t="str">
            <v>M64</v>
          </cell>
          <cell r="B64" t="str">
            <v>hormigonera</v>
          </cell>
          <cell r="C64" t="str">
            <v>hs</v>
          </cell>
          <cell r="D64">
            <v>80</v>
          </cell>
        </row>
        <row r="65">
          <cell r="A65" t="str">
            <v>M65</v>
          </cell>
          <cell r="B65" t="str">
            <v>instalacion de gas</v>
          </cell>
          <cell r="C65" t="str">
            <v>gl</v>
          </cell>
          <cell r="D65">
            <v>333</v>
          </cell>
        </row>
        <row r="66">
          <cell r="A66" t="str">
            <v>M66</v>
          </cell>
          <cell r="B66" t="str">
            <v>ladrillon</v>
          </cell>
          <cell r="C66" t="str">
            <v>u</v>
          </cell>
          <cell r="D66">
            <v>1.5</v>
          </cell>
        </row>
        <row r="67">
          <cell r="A67" t="str">
            <v>M67</v>
          </cell>
          <cell r="B67" t="str">
            <v>losa sin bidet</v>
          </cell>
          <cell r="C67" t="str">
            <v>gl</v>
          </cell>
          <cell r="D67">
            <v>585</v>
          </cell>
        </row>
        <row r="68">
          <cell r="A68" t="str">
            <v>M68</v>
          </cell>
          <cell r="B68" t="str">
            <v>marco P1</v>
          </cell>
          <cell r="C68" t="str">
            <v>u</v>
          </cell>
          <cell r="D68">
            <v>146</v>
          </cell>
        </row>
        <row r="69">
          <cell r="A69" t="str">
            <v>M69</v>
          </cell>
          <cell r="B69" t="str">
            <v>marco P2</v>
          </cell>
          <cell r="C69" t="str">
            <v>u</v>
          </cell>
          <cell r="D69">
            <v>120.5</v>
          </cell>
        </row>
        <row r="70">
          <cell r="A70" t="str">
            <v>M70</v>
          </cell>
          <cell r="B70" t="str">
            <v>marco P3</v>
          </cell>
          <cell r="C70" t="str">
            <v>u</v>
          </cell>
          <cell r="D70">
            <v>120.5</v>
          </cell>
        </row>
        <row r="71">
          <cell r="A71" t="str">
            <v>M71</v>
          </cell>
          <cell r="B71" t="str">
            <v>material de relleno</v>
          </cell>
          <cell r="C71" t="str">
            <v>m3</v>
          </cell>
          <cell r="D71">
            <v>1.2</v>
          </cell>
        </row>
        <row r="72">
          <cell r="A72" t="str">
            <v>M72</v>
          </cell>
          <cell r="B72" t="str">
            <v>membrana 4mm</v>
          </cell>
          <cell r="C72" t="str">
            <v>rollos</v>
          </cell>
          <cell r="D72">
            <v>103.17</v>
          </cell>
        </row>
        <row r="73">
          <cell r="A73" t="str">
            <v>M73</v>
          </cell>
          <cell r="B73" t="str">
            <v>membrana asfaltica</v>
          </cell>
          <cell r="C73" t="str">
            <v>m2</v>
          </cell>
          <cell r="D73">
            <v>7.4</v>
          </cell>
        </row>
        <row r="74">
          <cell r="A74" t="str">
            <v>M74</v>
          </cell>
          <cell r="B74" t="str">
            <v>mesada con bacha</v>
          </cell>
          <cell r="C74" t="str">
            <v>gl</v>
          </cell>
          <cell r="D74">
            <v>251</v>
          </cell>
        </row>
        <row r="75">
          <cell r="A75" t="str">
            <v>M75</v>
          </cell>
          <cell r="B75" t="str">
            <v>mezclador cocina</v>
          </cell>
          <cell r="C75" t="str">
            <v>u</v>
          </cell>
          <cell r="D75">
            <v>215</v>
          </cell>
        </row>
        <row r="76">
          <cell r="A76" t="str">
            <v>M76</v>
          </cell>
          <cell r="B76" t="str">
            <v>mezclador lavamano</v>
          </cell>
          <cell r="C76" t="str">
            <v>u</v>
          </cell>
          <cell r="D76">
            <v>186</v>
          </cell>
        </row>
        <row r="77">
          <cell r="A77" t="str">
            <v>M77</v>
          </cell>
          <cell r="B77" t="str">
            <v>mosquitero  V1</v>
          </cell>
          <cell r="C77" t="str">
            <v>u</v>
          </cell>
          <cell r="D77">
            <v>103</v>
          </cell>
        </row>
        <row r="78">
          <cell r="A78" t="str">
            <v>M78</v>
          </cell>
          <cell r="B78" t="str">
            <v>mosquitero banderola</v>
          </cell>
          <cell r="C78" t="str">
            <v>u</v>
          </cell>
          <cell r="D78">
            <v>49.895999999999994</v>
          </cell>
        </row>
        <row r="79">
          <cell r="A79" t="str">
            <v>M79</v>
          </cell>
          <cell r="B79" t="str">
            <v>mosquitero PV1</v>
          </cell>
          <cell r="C79" t="str">
            <v xml:space="preserve">u </v>
          </cell>
          <cell r="D79">
            <v>85.016000000000005</v>
          </cell>
        </row>
        <row r="80">
          <cell r="A80" t="str">
            <v>M80</v>
          </cell>
          <cell r="B80" t="str">
            <v>motoniveladora</v>
          </cell>
          <cell r="C80" t="str">
            <v>hs</v>
          </cell>
          <cell r="D80">
            <v>150</v>
          </cell>
        </row>
        <row r="81">
          <cell r="A81" t="str">
            <v>M81</v>
          </cell>
          <cell r="B81" t="str">
            <v>murete</v>
          </cell>
          <cell r="C81" t="str">
            <v>gl</v>
          </cell>
          <cell r="D81">
            <v>20</v>
          </cell>
        </row>
        <row r="82">
          <cell r="A82" t="str">
            <v>M82</v>
          </cell>
          <cell r="B82" t="str">
            <v>nicho de gas</v>
          </cell>
          <cell r="C82" t="str">
            <v>u</v>
          </cell>
          <cell r="D82">
            <v>110</v>
          </cell>
        </row>
        <row r="83">
          <cell r="A83" t="str">
            <v>M83</v>
          </cell>
          <cell r="B83" t="str">
            <v>oficial</v>
          </cell>
          <cell r="C83" t="str">
            <v>hs</v>
          </cell>
          <cell r="D83">
            <v>27.52</v>
          </cell>
        </row>
        <row r="84">
          <cell r="A84" t="str">
            <v>M84</v>
          </cell>
          <cell r="B84" t="str">
            <v>pala cargadora</v>
          </cell>
          <cell r="C84" t="str">
            <v>hs</v>
          </cell>
          <cell r="D84">
            <v>160</v>
          </cell>
        </row>
        <row r="85">
          <cell r="A85" t="str">
            <v>M85</v>
          </cell>
          <cell r="B85" t="str">
            <v>pastina</v>
          </cell>
          <cell r="C85" t="str">
            <v>kg</v>
          </cell>
          <cell r="D85">
            <v>2.4300000000000002</v>
          </cell>
        </row>
        <row r="86">
          <cell r="A86" t="str">
            <v>M86</v>
          </cell>
          <cell r="B86" t="str">
            <v>pegamento</v>
          </cell>
          <cell r="C86" t="str">
            <v>kg</v>
          </cell>
          <cell r="D86">
            <v>0.97233333333333338</v>
          </cell>
        </row>
        <row r="87">
          <cell r="A87" t="str">
            <v>M87</v>
          </cell>
          <cell r="B87" t="str">
            <v>pigmento de color</v>
          </cell>
          <cell r="C87" t="str">
            <v>kg</v>
          </cell>
          <cell r="D87">
            <v>0.48</v>
          </cell>
        </row>
        <row r="88">
          <cell r="A88" t="str">
            <v>M88</v>
          </cell>
          <cell r="B88" t="str">
            <v>pilastra medicion y accesorios</v>
          </cell>
          <cell r="C88" t="str">
            <v>gl</v>
          </cell>
          <cell r="D88">
            <v>390</v>
          </cell>
        </row>
        <row r="89">
          <cell r="A89" t="str">
            <v>M89</v>
          </cell>
          <cell r="B89" t="str">
            <v xml:space="preserve">pileta de lavar </v>
          </cell>
          <cell r="C89" t="str">
            <v>u</v>
          </cell>
          <cell r="D89">
            <v>72.727272727272734</v>
          </cell>
        </row>
        <row r="90">
          <cell r="A90" t="str">
            <v>M90</v>
          </cell>
          <cell r="B90" t="str">
            <v>pintura latex</v>
          </cell>
          <cell r="C90" t="str">
            <v>gl</v>
          </cell>
          <cell r="D90">
            <v>3.8</v>
          </cell>
        </row>
        <row r="91">
          <cell r="A91" t="str">
            <v>M91</v>
          </cell>
          <cell r="B91" t="str">
            <v>pintura sintetica</v>
          </cell>
          <cell r="C91" t="str">
            <v>gl</v>
          </cell>
          <cell r="D91">
            <v>10.6</v>
          </cell>
        </row>
        <row r="92">
          <cell r="A92" t="str">
            <v>M92</v>
          </cell>
          <cell r="B92" t="str">
            <v>pomeca</v>
          </cell>
          <cell r="C92" t="str">
            <v>m3</v>
          </cell>
          <cell r="D92">
            <v>60</v>
          </cell>
        </row>
        <row r="93">
          <cell r="A93" t="str">
            <v>M93</v>
          </cell>
          <cell r="B93" t="str">
            <v>poste de Hº</v>
          </cell>
          <cell r="C93" t="str">
            <v>u</v>
          </cell>
          <cell r="D93">
            <v>35.279999999999994</v>
          </cell>
        </row>
        <row r="94">
          <cell r="A94" t="str">
            <v>M94</v>
          </cell>
          <cell r="D94">
            <v>0</v>
          </cell>
        </row>
        <row r="95">
          <cell r="A95" t="str">
            <v>M95</v>
          </cell>
          <cell r="B95" t="str">
            <v>puerta placa P2</v>
          </cell>
          <cell r="C95" t="str">
            <v>u</v>
          </cell>
          <cell r="D95">
            <v>245</v>
          </cell>
        </row>
        <row r="96">
          <cell r="A96" t="str">
            <v>M96</v>
          </cell>
          <cell r="B96" t="str">
            <v>puerta placa P3</v>
          </cell>
          <cell r="C96" t="str">
            <v>u</v>
          </cell>
          <cell r="D96">
            <v>245</v>
          </cell>
        </row>
        <row r="97">
          <cell r="A97" t="str">
            <v>M97</v>
          </cell>
          <cell r="B97" t="str">
            <v>puerta tablero P1</v>
          </cell>
          <cell r="C97" t="str">
            <v>u</v>
          </cell>
          <cell r="D97">
            <v>310</v>
          </cell>
        </row>
        <row r="98">
          <cell r="A98" t="str">
            <v>M98</v>
          </cell>
          <cell r="B98" t="str">
            <v>puerta tablero PV1</v>
          </cell>
          <cell r="C98" t="str">
            <v>u</v>
          </cell>
          <cell r="D98">
            <v>310</v>
          </cell>
        </row>
        <row r="99">
          <cell r="A99" t="str">
            <v>M99</v>
          </cell>
          <cell r="B99" t="str">
            <v>puerta tanque</v>
          </cell>
          <cell r="C99" t="str">
            <v>u</v>
          </cell>
          <cell r="D99">
            <v>240</v>
          </cell>
        </row>
        <row r="100">
          <cell r="A100" t="str">
            <v>M100</v>
          </cell>
          <cell r="B100" t="str">
            <v>puerta ventana PV1</v>
          </cell>
          <cell r="C100" t="str">
            <v>u</v>
          </cell>
          <cell r="D100">
            <v>361.8</v>
          </cell>
        </row>
        <row r="101">
          <cell r="A101" t="str">
            <v>M101</v>
          </cell>
          <cell r="B101" t="str">
            <v>reglas metalicas</v>
          </cell>
          <cell r="C101" t="str">
            <v>gl</v>
          </cell>
          <cell r="D101">
            <v>1</v>
          </cell>
        </row>
        <row r="102">
          <cell r="A102" t="str">
            <v>m102</v>
          </cell>
          <cell r="B102" t="str">
            <v>ripio</v>
          </cell>
          <cell r="C102" t="str">
            <v>m3</v>
          </cell>
          <cell r="D102">
            <v>25</v>
          </cell>
        </row>
        <row r="103">
          <cell r="A103" t="str">
            <v>m103</v>
          </cell>
          <cell r="B103" t="str">
            <v>ripio clasificado</v>
          </cell>
          <cell r="C103" t="str">
            <v>m3</v>
          </cell>
          <cell r="D103">
            <v>25</v>
          </cell>
        </row>
        <row r="104">
          <cell r="A104" t="str">
            <v>m104</v>
          </cell>
          <cell r="B104" t="str">
            <v>tanque tricapa850 litros</v>
          </cell>
          <cell r="C104" t="str">
            <v>u</v>
          </cell>
          <cell r="D104">
            <v>351</v>
          </cell>
        </row>
        <row r="105">
          <cell r="A105" t="str">
            <v>m105</v>
          </cell>
          <cell r="B105" t="str">
            <v>tapa 20x20  pozo abs. Y camara septica</v>
          </cell>
          <cell r="C105" t="str">
            <v>u</v>
          </cell>
          <cell r="D105">
            <v>14.52</v>
          </cell>
        </row>
        <row r="106">
          <cell r="A106" t="str">
            <v>m106</v>
          </cell>
          <cell r="B106" t="str">
            <v>tierra apta cultivo</v>
          </cell>
          <cell r="C106" t="str">
            <v>m3</v>
          </cell>
          <cell r="D106">
            <v>40</v>
          </cell>
        </row>
        <row r="107">
          <cell r="A107" t="str">
            <v>m107</v>
          </cell>
          <cell r="B107" t="str">
            <v>ventana V1</v>
          </cell>
          <cell r="C107" t="str">
            <v xml:space="preserve">u </v>
          </cell>
          <cell r="D107">
            <v>412</v>
          </cell>
        </row>
        <row r="108">
          <cell r="A108" t="str">
            <v>m108</v>
          </cell>
          <cell r="B108" t="str">
            <v>rejillas</v>
          </cell>
          <cell r="C108" t="str">
            <v>u</v>
          </cell>
          <cell r="D108">
            <v>34.346999999999994</v>
          </cell>
        </row>
        <row r="109">
          <cell r="A109" t="str">
            <v>m109</v>
          </cell>
          <cell r="B109" t="str">
            <v>vidrio 3mm</v>
          </cell>
          <cell r="C109" t="str">
            <v>m2</v>
          </cell>
          <cell r="D109">
            <v>53.719008264462815</v>
          </cell>
        </row>
        <row r="110">
          <cell r="A110" t="str">
            <v>m110</v>
          </cell>
          <cell r="B110" t="str">
            <v>zanja filtrante</v>
          </cell>
          <cell r="D110">
            <v>0</v>
          </cell>
        </row>
        <row r="111">
          <cell r="A111" t="str">
            <v>m111</v>
          </cell>
          <cell r="B111" t="str">
            <v>planta de hormigon y distribucion</v>
          </cell>
          <cell r="C111" t="str">
            <v>hs</v>
          </cell>
          <cell r="D111">
            <v>80</v>
          </cell>
        </row>
        <row r="112">
          <cell r="A112" t="str">
            <v>m112</v>
          </cell>
          <cell r="B112" t="str">
            <v>protector de ladrillos</v>
          </cell>
          <cell r="C112" t="str">
            <v>gl</v>
          </cell>
          <cell r="D112">
            <v>7.15</v>
          </cell>
        </row>
        <row r="113">
          <cell r="A113" t="str">
            <v>m113</v>
          </cell>
          <cell r="B113" t="str">
            <v>acido</v>
          </cell>
          <cell r="C113" t="str">
            <v>gl</v>
          </cell>
          <cell r="D113">
            <v>0.5</v>
          </cell>
        </row>
        <row r="114">
          <cell r="A114" t="str">
            <v>m114</v>
          </cell>
          <cell r="B114" t="str">
            <v>ladrillos</v>
          </cell>
          <cell r="C114" t="str">
            <v>u</v>
          </cell>
          <cell r="D114">
            <v>0.85</v>
          </cell>
        </row>
        <row r="115">
          <cell r="A115" t="str">
            <v>m115</v>
          </cell>
          <cell r="B115" t="str">
            <v>ventana v2</v>
          </cell>
          <cell r="D115">
            <v>452.8</v>
          </cell>
        </row>
        <row r="116">
          <cell r="A116" t="str">
            <v>m116</v>
          </cell>
          <cell r="B116" t="str">
            <v>mosquitero ventana v2</v>
          </cell>
          <cell r="D116">
            <v>113.2</v>
          </cell>
        </row>
        <row r="117">
          <cell r="A117" t="str">
            <v>m117</v>
          </cell>
          <cell r="B117" t="str">
            <v>cargadora frontal</v>
          </cell>
          <cell r="C117" t="str">
            <v>hs</v>
          </cell>
          <cell r="D117">
            <v>160</v>
          </cell>
        </row>
        <row r="118">
          <cell r="A118" t="str">
            <v>m118</v>
          </cell>
          <cell r="B118" t="str">
            <v>camion</v>
          </cell>
          <cell r="C118" t="str">
            <v>hs</v>
          </cell>
          <cell r="D118">
            <v>50</v>
          </cell>
        </row>
        <row r="119">
          <cell r="A119" t="str">
            <v>m119</v>
          </cell>
          <cell r="B119" t="str">
            <v>caño de Hº</v>
          </cell>
          <cell r="C119" t="str">
            <v>u</v>
          </cell>
          <cell r="D119">
            <v>66.42</v>
          </cell>
        </row>
        <row r="120">
          <cell r="A120" t="str">
            <v>m120</v>
          </cell>
          <cell r="B120" t="str">
            <v>material granular bajo 2"</v>
          </cell>
          <cell r="C120" t="str">
            <v>m3</v>
          </cell>
          <cell r="D120">
            <v>15</v>
          </cell>
        </row>
        <row r="121">
          <cell r="A121" t="str">
            <v>m121</v>
          </cell>
          <cell r="B121" t="str">
            <v>tractor y rodillo vibrocompactador</v>
          </cell>
          <cell r="C121" t="str">
            <v>hs</v>
          </cell>
          <cell r="D121">
            <v>60</v>
          </cell>
        </row>
        <row r="122">
          <cell r="A122" t="str">
            <v>m122</v>
          </cell>
          <cell r="B122" t="str">
            <v>camion regador</v>
          </cell>
          <cell r="C122" t="str">
            <v>vje</v>
          </cell>
          <cell r="D122">
            <v>50</v>
          </cell>
        </row>
        <row r="123">
          <cell r="A123" t="str">
            <v>m123</v>
          </cell>
          <cell r="B123" t="str">
            <v>compactador manual</v>
          </cell>
          <cell r="C123" t="str">
            <v>hs</v>
          </cell>
          <cell r="D123">
            <v>10</v>
          </cell>
        </row>
        <row r="124">
          <cell r="A124" t="str">
            <v>m124</v>
          </cell>
          <cell r="B124" t="str">
            <v>caño galv 120</v>
          </cell>
          <cell r="C124" t="str">
            <v>ml</v>
          </cell>
          <cell r="D124">
            <v>18.600000000000001</v>
          </cell>
        </row>
        <row r="125">
          <cell r="A125" t="str">
            <v>m125</v>
          </cell>
          <cell r="B125" t="str">
            <v>sombreretes</v>
          </cell>
          <cell r="C125" t="str">
            <v>u</v>
          </cell>
          <cell r="D125">
            <v>36</v>
          </cell>
        </row>
        <row r="126">
          <cell r="A126" t="str">
            <v>m126</v>
          </cell>
          <cell r="B126" t="str">
            <v>base calefon</v>
          </cell>
          <cell r="C126" t="str">
            <v>u</v>
          </cell>
          <cell r="D126">
            <v>120</v>
          </cell>
        </row>
        <row r="127">
          <cell r="A127" t="str">
            <v>m127</v>
          </cell>
          <cell r="B127" t="str">
            <v>cuadro de ducha</v>
          </cell>
          <cell r="C127" t="str">
            <v>u</v>
          </cell>
          <cell r="D127">
            <v>253</v>
          </cell>
        </row>
        <row r="128">
          <cell r="A128" t="str">
            <v>m128</v>
          </cell>
          <cell r="B128" t="str">
            <v>retroexcavadora</v>
          </cell>
          <cell r="C128" t="str">
            <v>hs</v>
          </cell>
          <cell r="D128">
            <v>120</v>
          </cell>
        </row>
        <row r="129">
          <cell r="A129" t="str">
            <v>m129</v>
          </cell>
          <cell r="B129" t="str">
            <v>inodoro linea ferrum andino</v>
          </cell>
          <cell r="C129" t="str">
            <v>u</v>
          </cell>
          <cell r="D129">
            <v>178.3</v>
          </cell>
        </row>
        <row r="130">
          <cell r="A130" t="str">
            <v>m130</v>
          </cell>
          <cell r="B130" t="str">
            <v>lavamanos ferrum andino</v>
          </cell>
          <cell r="C130" t="str">
            <v>u</v>
          </cell>
          <cell r="D130">
            <v>94</v>
          </cell>
        </row>
        <row r="131">
          <cell r="A131" t="str">
            <v>m131</v>
          </cell>
          <cell r="B131" t="str">
            <v>mochila ferrum andino</v>
          </cell>
          <cell r="C131" t="str">
            <v>u</v>
          </cell>
          <cell r="D131">
            <v>228.76</v>
          </cell>
        </row>
        <row r="132">
          <cell r="A132" t="str">
            <v>m132</v>
          </cell>
          <cell r="B132" t="str">
            <v>conductor camion</v>
          </cell>
          <cell r="D132">
            <v>27.52</v>
          </cell>
        </row>
        <row r="133">
          <cell r="A133" t="str">
            <v>m133</v>
          </cell>
          <cell r="B133" t="str">
            <v>maquinista motoniveladora</v>
          </cell>
          <cell r="D133">
            <v>27.52</v>
          </cell>
        </row>
        <row r="134">
          <cell r="A134" t="str">
            <v>m134</v>
          </cell>
          <cell r="B134" t="str">
            <v>material granular bajo 3"</v>
          </cell>
          <cell r="C134" t="str">
            <v>m3</v>
          </cell>
          <cell r="D134">
            <v>8</v>
          </cell>
        </row>
        <row r="135">
          <cell r="A135" t="str">
            <v>m135</v>
          </cell>
          <cell r="B135" t="str">
            <v>plantin de arbol</v>
          </cell>
          <cell r="C135" t="str">
            <v>u</v>
          </cell>
          <cell r="D135">
            <v>20</v>
          </cell>
        </row>
        <row r="136">
          <cell r="A136" t="str">
            <v>m136</v>
          </cell>
          <cell r="B136" t="str">
            <v>abono</v>
          </cell>
          <cell r="C136" t="str">
            <v>u</v>
          </cell>
          <cell r="D136">
            <v>1.2</v>
          </cell>
        </row>
        <row r="137">
          <cell r="A137" t="str">
            <v>m137</v>
          </cell>
          <cell r="B137" t="str">
            <v>tutor</v>
          </cell>
          <cell r="C137" t="str">
            <v>u</v>
          </cell>
          <cell r="D137">
            <v>6.24</v>
          </cell>
        </row>
        <row r="138">
          <cell r="A138" t="str">
            <v>m138</v>
          </cell>
          <cell r="B138" t="str">
            <v>material cartel</v>
          </cell>
          <cell r="C138" t="str">
            <v>gl</v>
          </cell>
          <cell r="D138">
            <v>280</v>
          </cell>
        </row>
        <row r="139">
          <cell r="A139" t="str">
            <v>m139</v>
          </cell>
          <cell r="B139" t="str">
            <v>base hormigon</v>
          </cell>
          <cell r="C139" t="str">
            <v>gl</v>
          </cell>
          <cell r="D139">
            <v>20</v>
          </cell>
        </row>
        <row r="140">
          <cell r="A140" t="str">
            <v>m140</v>
          </cell>
          <cell r="B140" t="str">
            <v>caño PVC JE K10 200 mm</v>
          </cell>
          <cell r="C140" t="str">
            <v>ml</v>
          </cell>
          <cell r="D140">
            <v>88.543333333333337</v>
          </cell>
        </row>
        <row r="141">
          <cell r="A141" t="str">
            <v>m141</v>
          </cell>
          <cell r="B141" t="str">
            <v>caño PVC JE K10 160 mm</v>
          </cell>
          <cell r="C141" t="str">
            <v>ml</v>
          </cell>
          <cell r="D141">
            <v>56.928333333333335</v>
          </cell>
        </row>
        <row r="142">
          <cell r="A142" t="str">
            <v>m142</v>
          </cell>
          <cell r="B142" t="str">
            <v>caño PVC JE K10 75 mm</v>
          </cell>
          <cell r="C142" t="str">
            <v>ml</v>
          </cell>
          <cell r="D142">
            <v>12.533333333333333</v>
          </cell>
        </row>
        <row r="143">
          <cell r="A143" t="str">
            <v>m143</v>
          </cell>
          <cell r="B143" t="str">
            <v>accesorios cañeria</v>
          </cell>
          <cell r="C143" t="str">
            <v>gl</v>
          </cell>
          <cell r="D143">
            <v>3</v>
          </cell>
        </row>
        <row r="144">
          <cell r="A144" t="str">
            <v>m144</v>
          </cell>
          <cell r="B144" t="str">
            <v>base nicho de gas</v>
          </cell>
          <cell r="C144" t="str">
            <v>gl</v>
          </cell>
          <cell r="D144">
            <v>80</v>
          </cell>
        </row>
        <row r="145">
          <cell r="A145" t="str">
            <v>m145</v>
          </cell>
          <cell r="B145" t="str">
            <v>base gabinete de gas</v>
          </cell>
          <cell r="C145" t="str">
            <v>gl</v>
          </cell>
          <cell r="D145">
            <v>240</v>
          </cell>
        </row>
        <row r="146">
          <cell r="A146" t="str">
            <v>m146</v>
          </cell>
          <cell r="B146" t="str">
            <v>material de relleno</v>
          </cell>
          <cell r="C146" t="str">
            <v>m3</v>
          </cell>
          <cell r="D146">
            <v>12</v>
          </cell>
        </row>
        <row r="147">
          <cell r="A147" t="str">
            <v>m147</v>
          </cell>
          <cell r="B147" t="str">
            <v>mosaico granitico</v>
          </cell>
          <cell r="C147" t="str">
            <v>m2</v>
          </cell>
          <cell r="D147">
            <v>47</v>
          </cell>
        </row>
        <row r="148">
          <cell r="A148" t="str">
            <v>m148</v>
          </cell>
          <cell r="B148" t="str">
            <v>Marco tipo P1</v>
          </cell>
          <cell r="C148" t="str">
            <v>u</v>
          </cell>
          <cell r="D148">
            <v>314</v>
          </cell>
        </row>
        <row r="149">
          <cell r="A149" t="str">
            <v>m149</v>
          </cell>
          <cell r="B149" t="str">
            <v>Marco tipo P2-P3-P7-P10-P12`-PRx</v>
          </cell>
          <cell r="C149" t="str">
            <v>u</v>
          </cell>
          <cell r="D149">
            <v>269</v>
          </cell>
        </row>
        <row r="150">
          <cell r="A150" t="str">
            <v>m150</v>
          </cell>
          <cell r="B150" t="str">
            <v>Marco tipo P2`-P3``-P6-P9``-P12``-Pc`</v>
          </cell>
          <cell r="C150" t="str">
            <v>u</v>
          </cell>
          <cell r="D150">
            <v>262</v>
          </cell>
        </row>
        <row r="151">
          <cell r="A151" t="str">
            <v>m151</v>
          </cell>
          <cell r="B151" t="str">
            <v>Marco tipo P2``-P3```-P9-P10`-P12-Pc</v>
          </cell>
          <cell r="C151" t="str">
            <v>u</v>
          </cell>
          <cell r="D151">
            <v>265</v>
          </cell>
        </row>
        <row r="152">
          <cell r="A152" t="str">
            <v>m152</v>
          </cell>
          <cell r="B152" t="str">
            <v>Marco tipo P2´´´-P3`</v>
          </cell>
          <cell r="C152" t="str">
            <v>u</v>
          </cell>
          <cell r="D152">
            <v>273</v>
          </cell>
        </row>
        <row r="153">
          <cell r="A153" t="str">
            <v>m153</v>
          </cell>
          <cell r="B153" t="str">
            <v>Marco tipo P9`</v>
          </cell>
          <cell r="C153" t="str">
            <v>u</v>
          </cell>
          <cell r="D153">
            <v>257</v>
          </cell>
        </row>
        <row r="154">
          <cell r="A154" t="str">
            <v>m154</v>
          </cell>
          <cell r="B154" t="str">
            <v>Marco tipo P5-P5`</v>
          </cell>
          <cell r="C154" t="str">
            <v>u</v>
          </cell>
          <cell r="D154">
            <v>309</v>
          </cell>
        </row>
        <row r="155">
          <cell r="A155" t="str">
            <v>m155</v>
          </cell>
          <cell r="B155" t="str">
            <v xml:space="preserve">Marco tipo P8 </v>
          </cell>
          <cell r="C155" t="str">
            <v>u</v>
          </cell>
          <cell r="D155">
            <v>217</v>
          </cell>
        </row>
        <row r="156">
          <cell r="A156" t="str">
            <v>m156</v>
          </cell>
          <cell r="B156" t="str">
            <v>Puerta de aluminio tipo P4 de abrir</v>
          </cell>
          <cell r="C156" t="str">
            <v>u</v>
          </cell>
          <cell r="D156">
            <v>1742</v>
          </cell>
        </row>
        <row r="157">
          <cell r="A157" t="str">
            <v>m157</v>
          </cell>
          <cell r="B157" t="str">
            <v>Puerta de aluminio tipo PD corrediza</v>
          </cell>
          <cell r="C157" t="str">
            <v>u</v>
          </cell>
          <cell r="D157">
            <v>1990</v>
          </cell>
        </row>
        <row r="158">
          <cell r="A158" t="str">
            <v>m158</v>
          </cell>
          <cell r="B158" t="str">
            <v>Marco tipo P11-PRx`</v>
          </cell>
          <cell r="C158" t="str">
            <v>u</v>
          </cell>
          <cell r="D158">
            <v>297</v>
          </cell>
        </row>
        <row r="159">
          <cell r="A159" t="str">
            <v>m159</v>
          </cell>
          <cell r="B159" t="str">
            <v>Marco tipo P13</v>
          </cell>
          <cell r="C159" t="str">
            <v>u</v>
          </cell>
          <cell r="D159">
            <v>1405</v>
          </cell>
        </row>
        <row r="160">
          <cell r="A160" t="str">
            <v>m160</v>
          </cell>
          <cell r="B160" t="str">
            <v>Marco tipo P13`</v>
          </cell>
          <cell r="C160" t="str">
            <v>u</v>
          </cell>
          <cell r="D160">
            <v>1280</v>
          </cell>
        </row>
        <row r="161">
          <cell r="A161" t="str">
            <v>m161</v>
          </cell>
          <cell r="B161" t="str">
            <v>Marco tipo P13``</v>
          </cell>
          <cell r="C161" t="str">
            <v>u</v>
          </cell>
          <cell r="D161">
            <v>1532</v>
          </cell>
        </row>
        <row r="162">
          <cell r="A162" t="str">
            <v>m162</v>
          </cell>
          <cell r="B162" t="str">
            <v>Marco tipo P4-P18 sin herrajes</v>
          </cell>
          <cell r="C162" t="str">
            <v>u</v>
          </cell>
          <cell r="D162">
            <v>249</v>
          </cell>
        </row>
        <row r="163">
          <cell r="A163" t="str">
            <v>m163</v>
          </cell>
          <cell r="B163" t="str">
            <v>Marco tipo P15 sin herrajes</v>
          </cell>
          <cell r="C163" t="str">
            <v>u</v>
          </cell>
          <cell r="D163">
            <v>274</v>
          </cell>
        </row>
        <row r="164">
          <cell r="A164" t="str">
            <v>m164</v>
          </cell>
          <cell r="B164" t="str">
            <v>Marco tipo P16 sin herrajes</v>
          </cell>
          <cell r="C164" t="str">
            <v>u</v>
          </cell>
          <cell r="D164">
            <v>279</v>
          </cell>
        </row>
        <row r="165">
          <cell r="A165" t="str">
            <v>m165</v>
          </cell>
          <cell r="B165" t="str">
            <v>Marco tipo P16` sin herrajes</v>
          </cell>
          <cell r="C165" t="str">
            <v>u</v>
          </cell>
          <cell r="D165">
            <v>267</v>
          </cell>
        </row>
        <row r="166">
          <cell r="A166" t="str">
            <v>m166</v>
          </cell>
          <cell r="B166" t="str">
            <v>Marco tipo P16`` sin herrajes</v>
          </cell>
          <cell r="C166" t="str">
            <v>u</v>
          </cell>
          <cell r="D166">
            <v>263</v>
          </cell>
        </row>
        <row r="167">
          <cell r="A167" t="str">
            <v>m167</v>
          </cell>
          <cell r="B167" t="str">
            <v>Marco tipo P17 sin herrajes</v>
          </cell>
          <cell r="C167" t="str">
            <v>u</v>
          </cell>
          <cell r="D167">
            <v>286</v>
          </cell>
        </row>
        <row r="168">
          <cell r="A168" t="str">
            <v>m168</v>
          </cell>
          <cell r="B168" t="str">
            <v>Marco tipo P17`sin herrajes</v>
          </cell>
          <cell r="C168" t="str">
            <v>u</v>
          </cell>
          <cell r="D168">
            <v>281</v>
          </cell>
        </row>
        <row r="169">
          <cell r="A169" t="str">
            <v>m169</v>
          </cell>
          <cell r="B169" t="str">
            <v>Marco tipo P17`` sin herrajes</v>
          </cell>
          <cell r="C169" t="str">
            <v>u</v>
          </cell>
          <cell r="D169">
            <v>297</v>
          </cell>
        </row>
        <row r="170">
          <cell r="A170" t="str">
            <v>m170</v>
          </cell>
          <cell r="B170" t="str">
            <v>Marco tipo P18`- P19</v>
          </cell>
          <cell r="C170" t="str">
            <v>u</v>
          </cell>
          <cell r="D170">
            <v>242</v>
          </cell>
        </row>
        <row r="171">
          <cell r="A171" t="str">
            <v>m171</v>
          </cell>
          <cell r="B171" t="str">
            <v>Marco Puerta tipo Pe con ventana de aluminio de 2 hojas a guillotina</v>
          </cell>
          <cell r="C171" t="str">
            <v>u</v>
          </cell>
          <cell r="D171">
            <v>2746</v>
          </cell>
        </row>
        <row r="172">
          <cell r="A172" t="str">
            <v>m172</v>
          </cell>
          <cell r="B172" t="str">
            <v>Marco Puerta tipo Pe` con ventana de aluminio de 1 hoja a guillotina</v>
          </cell>
          <cell r="C172" t="str">
            <v>u</v>
          </cell>
          <cell r="D172">
            <v>1625</v>
          </cell>
        </row>
        <row r="173">
          <cell r="A173" t="str">
            <v>m173</v>
          </cell>
          <cell r="B173" t="str">
            <v>Puerta tipo PE1</v>
          </cell>
          <cell r="C173" t="str">
            <v>u</v>
          </cell>
          <cell r="D173">
            <v>6340</v>
          </cell>
        </row>
        <row r="174">
          <cell r="A174" t="str">
            <v>m174</v>
          </cell>
          <cell r="B174" t="str">
            <v>Puerta tipo PE2</v>
          </cell>
          <cell r="C174" t="str">
            <v>u</v>
          </cell>
          <cell r="D174">
            <v>4230</v>
          </cell>
        </row>
        <row r="175">
          <cell r="A175" t="str">
            <v>m175</v>
          </cell>
          <cell r="B175" t="str">
            <v>Marco tipo PU sin herrajes</v>
          </cell>
          <cell r="C175" t="str">
            <v>u</v>
          </cell>
          <cell r="D175">
            <v>553</v>
          </cell>
        </row>
        <row r="176">
          <cell r="A176" t="str">
            <v>m176</v>
          </cell>
          <cell r="B176" t="str">
            <v>Puerta tipo P20</v>
          </cell>
          <cell r="C176" t="str">
            <v>u</v>
          </cell>
          <cell r="D176">
            <v>2310</v>
          </cell>
        </row>
        <row r="177">
          <cell r="A177" t="str">
            <v>m177</v>
          </cell>
          <cell r="B177" t="str">
            <v>Puerta tipo P21</v>
          </cell>
          <cell r="C177" t="str">
            <v>u</v>
          </cell>
          <cell r="D177">
            <v>1070</v>
          </cell>
        </row>
        <row r="178">
          <cell r="A178" t="str">
            <v>m178</v>
          </cell>
          <cell r="B178" t="str">
            <v xml:space="preserve">Puerta tipo P22 </v>
          </cell>
          <cell r="C178" t="str">
            <v>u</v>
          </cell>
          <cell r="D178">
            <v>3520</v>
          </cell>
        </row>
        <row r="179">
          <cell r="A179" t="str">
            <v>m179</v>
          </cell>
          <cell r="B179" t="str">
            <v>Portón tipo P</v>
          </cell>
          <cell r="C179" t="str">
            <v>u</v>
          </cell>
          <cell r="D179">
            <v>8180</v>
          </cell>
        </row>
        <row r="180">
          <cell r="A180" t="str">
            <v>m180</v>
          </cell>
          <cell r="B180" t="str">
            <v>Claraboya tipo C</v>
          </cell>
          <cell r="C180" t="str">
            <v>u</v>
          </cell>
          <cell r="D180">
            <v>450</v>
          </cell>
        </row>
        <row r="181">
          <cell r="A181" t="str">
            <v>m181</v>
          </cell>
          <cell r="B181" t="str">
            <v>Banderola tipo B</v>
          </cell>
          <cell r="C181" t="str">
            <v>u</v>
          </cell>
          <cell r="D181">
            <v>430</v>
          </cell>
        </row>
        <row r="182">
          <cell r="A182" t="str">
            <v>m182</v>
          </cell>
          <cell r="B182" t="str">
            <v>Banderola tipo B`-B3-B6</v>
          </cell>
          <cell r="C182" t="str">
            <v>u</v>
          </cell>
          <cell r="D182">
            <v>440</v>
          </cell>
        </row>
        <row r="183">
          <cell r="A183" t="str">
            <v>m183</v>
          </cell>
          <cell r="B183" t="str">
            <v>Banderola tipo B1-B7</v>
          </cell>
          <cell r="C183" t="str">
            <v>u</v>
          </cell>
          <cell r="D183">
            <v>760</v>
          </cell>
        </row>
        <row r="184">
          <cell r="A184" t="str">
            <v>m184</v>
          </cell>
          <cell r="B184" t="str">
            <v xml:space="preserve">Banderola tipo B1`  </v>
          </cell>
          <cell r="C184" t="str">
            <v>u</v>
          </cell>
          <cell r="D184">
            <v>320</v>
          </cell>
        </row>
        <row r="185">
          <cell r="A185" t="str">
            <v>m185</v>
          </cell>
          <cell r="B185" t="str">
            <v>Banderola tipo B2`-B4</v>
          </cell>
          <cell r="C185" t="str">
            <v>u</v>
          </cell>
          <cell r="D185">
            <v>385</v>
          </cell>
        </row>
        <row r="186">
          <cell r="A186" t="str">
            <v>m186</v>
          </cell>
          <cell r="B186" t="str">
            <v>Banderola tipo B2-B2``-B5</v>
          </cell>
          <cell r="C186" t="str">
            <v>u</v>
          </cell>
          <cell r="D186">
            <v>840</v>
          </cell>
        </row>
        <row r="187">
          <cell r="A187" t="str">
            <v>m187</v>
          </cell>
          <cell r="B187" t="str">
            <v>Marco Placard tipo PL-PL1 de sección= 6 cm</v>
          </cell>
          <cell r="C187" t="str">
            <v>u</v>
          </cell>
          <cell r="D187">
            <v>437</v>
          </cell>
        </row>
        <row r="188">
          <cell r="A188" t="str">
            <v>m188</v>
          </cell>
          <cell r="B188" t="str">
            <v>Marco Placard tipo PL2 idem anterior</v>
          </cell>
          <cell r="C188" t="str">
            <v>u</v>
          </cell>
          <cell r="D188">
            <v>416</v>
          </cell>
        </row>
        <row r="189">
          <cell r="A189" t="str">
            <v>m189</v>
          </cell>
          <cell r="B189" t="str">
            <v>Marco Placard tipo PL5 idem anterior</v>
          </cell>
          <cell r="C189" t="str">
            <v>u</v>
          </cell>
          <cell r="D189">
            <v>402</v>
          </cell>
        </row>
        <row r="190">
          <cell r="A190" t="str">
            <v>m190</v>
          </cell>
          <cell r="B190" t="str">
            <v>Marco Placard tipo PL6 idem anterior</v>
          </cell>
          <cell r="C190" t="str">
            <v>u</v>
          </cell>
          <cell r="D190">
            <v>428</v>
          </cell>
        </row>
        <row r="191">
          <cell r="A191" t="str">
            <v>m191</v>
          </cell>
          <cell r="B191" t="str">
            <v>Marco Placard tipo PL8 idem anterior</v>
          </cell>
          <cell r="C191" t="str">
            <v>u</v>
          </cell>
          <cell r="D191">
            <v>242</v>
          </cell>
        </row>
        <row r="192">
          <cell r="A192" t="str">
            <v>m192</v>
          </cell>
          <cell r="B192" t="str">
            <v>Marco Placard tipo PL4 idem anterior</v>
          </cell>
          <cell r="C192" t="str">
            <v>u</v>
          </cell>
          <cell r="D192">
            <v>251</v>
          </cell>
        </row>
        <row r="193">
          <cell r="A193" t="str">
            <v>m193</v>
          </cell>
          <cell r="B193" t="str">
            <v>Marco Placard tipo PL7 idem anteior</v>
          </cell>
          <cell r="C193" t="str">
            <v>u</v>
          </cell>
          <cell r="D193">
            <v>257</v>
          </cell>
        </row>
        <row r="194">
          <cell r="A194" t="str">
            <v>m194</v>
          </cell>
          <cell r="B194" t="str">
            <v>Marco Placard tipo PL10 idem anterior</v>
          </cell>
          <cell r="C194" t="str">
            <v>u</v>
          </cell>
          <cell r="D194">
            <v>265</v>
          </cell>
        </row>
        <row r="195">
          <cell r="A195" t="str">
            <v>m195</v>
          </cell>
          <cell r="B195" t="str">
            <v>Marco Placard tipo PL3 idem anterior</v>
          </cell>
          <cell r="C195" t="str">
            <v>u</v>
          </cell>
          <cell r="D195">
            <v>559</v>
          </cell>
        </row>
        <row r="196">
          <cell r="A196" t="str">
            <v>m196</v>
          </cell>
          <cell r="B196" t="str">
            <v>Marco Placard tipo PL9 idem anterior</v>
          </cell>
          <cell r="C196" t="str">
            <v>u</v>
          </cell>
          <cell r="D196">
            <v>568</v>
          </cell>
        </row>
        <row r="197">
          <cell r="A197" t="str">
            <v>m197</v>
          </cell>
          <cell r="B197" t="str">
            <v>Puerta Placard tipo PH</v>
          </cell>
          <cell r="C197" t="str">
            <v>u</v>
          </cell>
          <cell r="D197">
            <v>413</v>
          </cell>
        </row>
        <row r="198">
          <cell r="A198" t="str">
            <v>m198</v>
          </cell>
          <cell r="B198" t="str">
            <v>Portón tipo PT-PT1-PT4</v>
          </cell>
          <cell r="C198" t="str">
            <v>u</v>
          </cell>
          <cell r="D198">
            <v>14010</v>
          </cell>
        </row>
        <row r="199">
          <cell r="A199" t="str">
            <v>m199</v>
          </cell>
          <cell r="B199" t="str">
            <v>Portón tipo PT2-PT3</v>
          </cell>
          <cell r="C199" t="str">
            <v>u</v>
          </cell>
          <cell r="D199">
            <v>11565</v>
          </cell>
        </row>
        <row r="200">
          <cell r="A200" t="str">
            <v>m200</v>
          </cell>
          <cell r="B200" t="str">
            <v>Portón tipo Pta</v>
          </cell>
          <cell r="C200" t="str">
            <v>u</v>
          </cell>
          <cell r="D200">
            <v>6990</v>
          </cell>
        </row>
        <row r="201">
          <cell r="A201" t="str">
            <v>m201</v>
          </cell>
          <cell r="B201" t="str">
            <v>Lucernario Acceso Principal sin estructura de aluminio</v>
          </cell>
          <cell r="C201" t="str">
            <v>u</v>
          </cell>
          <cell r="D201">
            <v>8430</v>
          </cell>
        </row>
        <row r="202">
          <cell r="A202" t="str">
            <v>m202</v>
          </cell>
          <cell r="B202" t="str">
            <v>Lucernario Circulaciones Públicas idem anterior</v>
          </cell>
          <cell r="C202" t="str">
            <v>u</v>
          </cell>
          <cell r="D202">
            <v>7085</v>
          </cell>
        </row>
        <row r="203">
          <cell r="A203" t="str">
            <v>m203</v>
          </cell>
          <cell r="B203" t="str">
            <v>Lucernario Sala Espera Cons. Externos idem anterior</v>
          </cell>
          <cell r="C203" t="str">
            <v>u</v>
          </cell>
          <cell r="D203">
            <v>10780</v>
          </cell>
        </row>
        <row r="204">
          <cell r="A204" t="str">
            <v>m204</v>
          </cell>
          <cell r="B204" t="str">
            <v>Lucernario Sala Espera Urgencias idem anterior</v>
          </cell>
          <cell r="C204" t="str">
            <v>u</v>
          </cell>
          <cell r="D204">
            <v>10500</v>
          </cell>
        </row>
        <row r="205">
          <cell r="A205" t="str">
            <v>m205</v>
          </cell>
          <cell r="B205" t="str">
            <v>Lucernario Admisión y Turnos idem anterior</v>
          </cell>
          <cell r="C205" t="str">
            <v>u</v>
          </cell>
          <cell r="D205">
            <v>7420</v>
          </cell>
        </row>
        <row r="206">
          <cell r="A206" t="str">
            <v>m206</v>
          </cell>
          <cell r="B206" t="str">
            <v>Lucernario Circulación Interna idem anterior</v>
          </cell>
          <cell r="C206" t="str">
            <v>u</v>
          </cell>
          <cell r="D206">
            <v>5180</v>
          </cell>
        </row>
        <row r="207">
          <cell r="A207" t="str">
            <v>m207</v>
          </cell>
          <cell r="B207" t="str">
            <v>solera</v>
          </cell>
          <cell r="C207" t="str">
            <v>ml</v>
          </cell>
          <cell r="D207">
            <v>4.7451790633608812</v>
          </cell>
        </row>
        <row r="208">
          <cell r="A208" t="str">
            <v>m208</v>
          </cell>
          <cell r="B208" t="str">
            <v>montante de</v>
          </cell>
          <cell r="C208" t="str">
            <v>ml</v>
          </cell>
          <cell r="D208">
            <v>5.3822314049586781</v>
          </cell>
        </row>
        <row r="209">
          <cell r="A209" t="str">
            <v>m209</v>
          </cell>
          <cell r="B209" t="str">
            <v>tornilo t1</v>
          </cell>
          <cell r="C209" t="str">
            <v xml:space="preserve">u </v>
          </cell>
          <cell r="D209">
            <v>8.43E-2</v>
          </cell>
        </row>
        <row r="210">
          <cell r="A210" t="str">
            <v>m210</v>
          </cell>
          <cell r="B210" t="str">
            <v>tornilo t2</v>
          </cell>
          <cell r="C210" t="str">
            <v>u</v>
          </cell>
          <cell r="D210">
            <v>0.19980000000000001</v>
          </cell>
        </row>
        <row r="211">
          <cell r="A211" t="str">
            <v>m211</v>
          </cell>
          <cell r="B211" t="str">
            <v xml:space="preserve">cinta </v>
          </cell>
          <cell r="C211" t="str">
            <v>ml</v>
          </cell>
          <cell r="D211">
            <v>0.18552631578947368</v>
          </cell>
        </row>
        <row r="212">
          <cell r="A212" t="str">
            <v>m212</v>
          </cell>
          <cell r="B212" t="str">
            <v>masilla</v>
          </cell>
          <cell r="C212" t="str">
            <v>kg</v>
          </cell>
          <cell r="D212">
            <v>3.1965625000000002</v>
          </cell>
        </row>
        <row r="213">
          <cell r="A213" t="str">
            <v>m213</v>
          </cell>
          <cell r="B213" t="str">
            <v>fijaciones</v>
          </cell>
          <cell r="C213" t="str">
            <v>u</v>
          </cell>
          <cell r="D213">
            <v>0.5</v>
          </cell>
        </row>
        <row r="214">
          <cell r="A214" t="str">
            <v>m214</v>
          </cell>
          <cell r="B214" t="str">
            <v>placa durlock pared</v>
          </cell>
          <cell r="C214" t="str">
            <v>m2</v>
          </cell>
          <cell r="D214">
            <v>12.109733700642794</v>
          </cell>
        </row>
        <row r="215">
          <cell r="A215" t="str">
            <v>m215</v>
          </cell>
          <cell r="B215" t="str">
            <v>pastina para granitico</v>
          </cell>
          <cell r="C215" t="str">
            <v>kg</v>
          </cell>
          <cell r="D215">
            <v>4</v>
          </cell>
        </row>
        <row r="216">
          <cell r="A216" t="str">
            <v>m216</v>
          </cell>
          <cell r="B216" t="str">
            <v>junta de dilatacion</v>
          </cell>
          <cell r="C216" t="str">
            <v>ml</v>
          </cell>
          <cell r="D216">
            <v>21</v>
          </cell>
        </row>
        <row r="217">
          <cell r="A217" t="str">
            <v>m217</v>
          </cell>
          <cell r="B217" t="str">
            <v>zocalo granitico</v>
          </cell>
          <cell r="C217" t="str">
            <v>ml</v>
          </cell>
          <cell r="D217">
            <v>32</v>
          </cell>
        </row>
        <row r="218">
          <cell r="A218" t="str">
            <v>m218</v>
          </cell>
          <cell r="B218" t="str">
            <v>placa de revestimiento</v>
          </cell>
          <cell r="C218" t="str">
            <v>m2</v>
          </cell>
          <cell r="D218">
            <v>23.38</v>
          </cell>
        </row>
        <row r="219">
          <cell r="A219" t="str">
            <v>m219</v>
          </cell>
          <cell r="B219" t="str">
            <v>ladrillo de enchapar</v>
          </cell>
          <cell r="C219" t="str">
            <v>u</v>
          </cell>
          <cell r="D219">
            <v>2.4</v>
          </cell>
        </row>
        <row r="220">
          <cell r="A220" t="str">
            <v>m220</v>
          </cell>
          <cell r="B220" t="str">
            <v>salpicado plastico</v>
          </cell>
          <cell r="C220" t="str">
            <v>kg</v>
          </cell>
          <cell r="D220">
            <v>8.18</v>
          </cell>
        </row>
        <row r="221">
          <cell r="A221" t="str">
            <v>m221</v>
          </cell>
          <cell r="B221" t="str">
            <v>chapa plegada</v>
          </cell>
          <cell r="C221" t="str">
            <v>kg</v>
          </cell>
          <cell r="D221">
            <v>13</v>
          </cell>
        </row>
        <row r="222">
          <cell r="A222" t="str">
            <v>m222</v>
          </cell>
          <cell r="B222" t="str">
            <v>placa durlock cielorraso</v>
          </cell>
          <cell r="C222" t="str">
            <v>m2</v>
          </cell>
          <cell r="D222">
            <v>11.69</v>
          </cell>
        </row>
        <row r="223">
          <cell r="A223" t="str">
            <v>m223</v>
          </cell>
          <cell r="B223" t="str">
            <v>placa cementicia</v>
          </cell>
          <cell r="C223" t="str">
            <v>m2</v>
          </cell>
          <cell r="D223">
            <v>46.774563820018372</v>
          </cell>
        </row>
        <row r="224">
          <cell r="A224" t="str">
            <v>m224</v>
          </cell>
          <cell r="B224" t="str">
            <v>baldosa ceramica</v>
          </cell>
          <cell r="C224" t="str">
            <v>m2</v>
          </cell>
          <cell r="D224">
            <v>31.239669421487601</v>
          </cell>
        </row>
        <row r="225">
          <cell r="A225" t="str">
            <v>m225</v>
          </cell>
          <cell r="B225" t="str">
            <v xml:space="preserve">pegamento </v>
          </cell>
          <cell r="C225" t="str">
            <v>kg</v>
          </cell>
          <cell r="D225">
            <v>0.97</v>
          </cell>
        </row>
        <row r="226">
          <cell r="A226" t="str">
            <v>m226</v>
          </cell>
          <cell r="B226" t="str">
            <v>junta elastica</v>
          </cell>
          <cell r="C226" t="str">
            <v>ml</v>
          </cell>
          <cell r="D226">
            <v>3</v>
          </cell>
        </row>
        <row r="227">
          <cell r="A227" t="str">
            <v>m227</v>
          </cell>
          <cell r="B227" t="str">
            <v>vidrio 3+3 inastillable</v>
          </cell>
          <cell r="C227" t="str">
            <v>m2</v>
          </cell>
          <cell r="D227">
            <v>215</v>
          </cell>
        </row>
        <row r="228">
          <cell r="A228" t="str">
            <v>m228</v>
          </cell>
          <cell r="B228" t="str">
            <v>espejos</v>
          </cell>
          <cell r="C228" t="str">
            <v>m2</v>
          </cell>
          <cell r="D228">
            <v>160</v>
          </cell>
        </row>
        <row r="229">
          <cell r="A229" t="str">
            <v>m229</v>
          </cell>
          <cell r="B229" t="str">
            <v>vidrio doble vidriado hermetico DVH</v>
          </cell>
          <cell r="C229" t="str">
            <v>m2</v>
          </cell>
          <cell r="D229">
            <v>400</v>
          </cell>
        </row>
        <row r="230">
          <cell r="A230" t="str">
            <v>m230</v>
          </cell>
          <cell r="B230" t="str">
            <v>construccion y provison de tanques metalicos</v>
          </cell>
          <cell r="C230" t="str">
            <v>gl</v>
          </cell>
          <cell r="D230">
            <v>0</v>
          </cell>
        </row>
        <row r="231">
          <cell r="A231" t="str">
            <v>m231</v>
          </cell>
          <cell r="B231" t="str">
            <v>montaje en obra de los estanques metalicos</v>
          </cell>
          <cell r="C231" t="str">
            <v>gl</v>
          </cell>
          <cell r="D231">
            <v>0</v>
          </cell>
        </row>
        <row r="232">
          <cell r="A232" t="str">
            <v>m232</v>
          </cell>
          <cell r="B232" t="str">
            <v>equipamiento electromecanico fiting, piping, panel de control</v>
          </cell>
          <cell r="C232" t="str">
            <v>gl</v>
          </cell>
          <cell r="D232">
            <v>0</v>
          </cell>
        </row>
        <row r="233">
          <cell r="A233" t="str">
            <v>m233</v>
          </cell>
          <cell r="B233" t="str">
            <v>transporte de equipamiento y estanques</v>
          </cell>
          <cell r="C233" t="str">
            <v>gl</v>
          </cell>
          <cell r="D233">
            <v>0</v>
          </cell>
        </row>
        <row r="234">
          <cell r="A234" t="str">
            <v>m234</v>
          </cell>
          <cell r="B234" t="str">
            <v>montaje en obra de equipamiento electromecanico</v>
          </cell>
          <cell r="C234" t="str">
            <v>gl</v>
          </cell>
          <cell r="D234">
            <v>0</v>
          </cell>
        </row>
        <row r="235">
          <cell r="A235" t="str">
            <v>m235</v>
          </cell>
          <cell r="B235" t="str">
            <v>documentacion tecnica, plano de forma y detalle</v>
          </cell>
          <cell r="C235" t="str">
            <v>gl</v>
          </cell>
          <cell r="D235">
            <v>0</v>
          </cell>
        </row>
        <row r="236">
          <cell r="A236" t="str">
            <v>m236</v>
          </cell>
          <cell r="B236" t="str">
            <v>puesta en marcha</v>
          </cell>
          <cell r="C236" t="str">
            <v>gl</v>
          </cell>
          <cell r="D236">
            <v>0</v>
          </cell>
        </row>
        <row r="237">
          <cell r="A237" t="str">
            <v>m237</v>
          </cell>
          <cell r="B237" t="str">
            <v>manual de operaciones y mantenimiento</v>
          </cell>
          <cell r="C237" t="str">
            <v>gl</v>
          </cell>
          <cell r="D237">
            <v>0</v>
          </cell>
        </row>
        <row r="238">
          <cell r="A238" t="str">
            <v>m238</v>
          </cell>
          <cell r="B238" t="str">
            <v>costo:</v>
          </cell>
          <cell r="D238">
            <v>0</v>
          </cell>
        </row>
        <row r="239">
          <cell r="A239" t="str">
            <v>m239</v>
          </cell>
          <cell r="B239" t="str">
            <v>obras civiles y excavaciones</v>
          </cell>
          <cell r="C239" t="str">
            <v>gl</v>
          </cell>
          <cell r="D239">
            <v>0</v>
          </cell>
        </row>
        <row r="240">
          <cell r="A240" t="str">
            <v>m240</v>
          </cell>
          <cell r="B240" t="str">
            <v>barandas, tapas, y cierres perimetrales</v>
          </cell>
          <cell r="C240" t="str">
            <v>gl</v>
          </cell>
          <cell r="D240">
            <v>0</v>
          </cell>
        </row>
        <row r="241">
          <cell r="A241" t="str">
            <v>m241</v>
          </cell>
          <cell r="B241" t="str">
            <v>instalacion electrica hasta tablero de comando</v>
          </cell>
          <cell r="C241" t="str">
            <v>gl</v>
          </cell>
          <cell r="D241">
            <v>0</v>
          </cell>
        </row>
        <row r="242">
          <cell r="A242" t="str">
            <v>m242</v>
          </cell>
          <cell r="B242" t="str">
            <v>cañeria de ingreso y egreso del efluente</v>
          </cell>
          <cell r="C242" t="str">
            <v>gl</v>
          </cell>
          <cell r="D242">
            <v>0</v>
          </cell>
        </row>
        <row r="243">
          <cell r="A243" t="str">
            <v>m243</v>
          </cell>
          <cell r="B243" t="str">
            <v>varios</v>
          </cell>
          <cell r="C243" t="str">
            <v>gl</v>
          </cell>
          <cell r="D243">
            <v>0</v>
          </cell>
        </row>
        <row r="244">
          <cell r="A244" t="str">
            <v>m244</v>
          </cell>
          <cell r="B244" t="str">
            <v>teja francesa</v>
          </cell>
          <cell r="C244" t="str">
            <v>m2</v>
          </cell>
          <cell r="D244">
            <v>31.4</v>
          </cell>
        </row>
        <row r="245">
          <cell r="A245" t="str">
            <v>m245</v>
          </cell>
          <cell r="B245" t="str">
            <v>mosaico granitico 15x15</v>
          </cell>
          <cell r="C245" t="str">
            <v>m2</v>
          </cell>
          <cell r="D245">
            <v>53</v>
          </cell>
        </row>
        <row r="246">
          <cell r="A246" t="str">
            <v>m246</v>
          </cell>
          <cell r="B246" t="str">
            <v>umbral granitico</v>
          </cell>
          <cell r="C246" t="str">
            <v>m2</v>
          </cell>
          <cell r="D246">
            <v>58.8</v>
          </cell>
        </row>
        <row r="247">
          <cell r="A247" t="str">
            <v>m247</v>
          </cell>
          <cell r="B247" t="str">
            <v>fenolico vallado</v>
          </cell>
          <cell r="C247" t="str">
            <v>gl</v>
          </cell>
          <cell r="D247">
            <v>7.5</v>
          </cell>
        </row>
        <row r="248">
          <cell r="A248" t="str">
            <v>m248</v>
          </cell>
          <cell r="D248">
            <v>0</v>
          </cell>
        </row>
        <row r="249">
          <cell r="A249" t="str">
            <v>m249</v>
          </cell>
          <cell r="B249" t="str">
            <v>soldadora</v>
          </cell>
          <cell r="C249" t="str">
            <v>gl</v>
          </cell>
          <cell r="D249">
            <v>1</v>
          </cell>
        </row>
        <row r="250">
          <cell r="A250" t="str">
            <v>m250</v>
          </cell>
          <cell r="B250" t="str">
            <v>amoladora</v>
          </cell>
          <cell r="C250" t="str">
            <v>gl</v>
          </cell>
          <cell r="D250">
            <v>1</v>
          </cell>
        </row>
        <row r="251">
          <cell r="A251" t="str">
            <v>m251</v>
          </cell>
          <cell r="D251">
            <v>0</v>
          </cell>
        </row>
        <row r="252">
          <cell r="A252" t="str">
            <v>m252</v>
          </cell>
          <cell r="B252" t="str">
            <v>Puerta baño</v>
          </cell>
          <cell r="C252" t="str">
            <v>gl</v>
          </cell>
          <cell r="D252">
            <v>1189.8</v>
          </cell>
        </row>
        <row r="253">
          <cell r="A253" t="str">
            <v>m253</v>
          </cell>
          <cell r="B253" t="str">
            <v>Banderolas</v>
          </cell>
          <cell r="C253" t="str">
            <v>gl</v>
          </cell>
          <cell r="D253">
            <v>208.8</v>
          </cell>
        </row>
        <row r="254">
          <cell r="A254" t="str">
            <v>m254</v>
          </cell>
          <cell r="B254" t="str">
            <v>Ventanas</v>
          </cell>
          <cell r="C254" t="str">
            <v>gl</v>
          </cell>
          <cell r="D254">
            <v>446.40000000000003</v>
          </cell>
        </row>
        <row r="255">
          <cell r="A255" t="str">
            <v>m255</v>
          </cell>
          <cell r="B255" t="str">
            <v>Portón</v>
          </cell>
          <cell r="C255" t="str">
            <v>gl</v>
          </cell>
          <cell r="D255">
            <v>10784.7</v>
          </cell>
        </row>
        <row r="256">
          <cell r="A256" t="str">
            <v>m256</v>
          </cell>
          <cell r="D256">
            <v>0</v>
          </cell>
        </row>
        <row r="257">
          <cell r="A257" t="str">
            <v>m257</v>
          </cell>
          <cell r="D257">
            <v>0</v>
          </cell>
        </row>
        <row r="258">
          <cell r="A258" t="str">
            <v>m258</v>
          </cell>
          <cell r="B258" t="str">
            <v>enduido</v>
          </cell>
          <cell r="C258" t="str">
            <v>gl</v>
          </cell>
          <cell r="D258">
            <v>2</v>
          </cell>
        </row>
        <row r="259">
          <cell r="A259" t="str">
            <v>m259</v>
          </cell>
          <cell r="D259">
            <v>0</v>
          </cell>
        </row>
        <row r="260">
          <cell r="A260" t="str">
            <v>m260</v>
          </cell>
          <cell r="D260">
            <v>0</v>
          </cell>
        </row>
        <row r="261">
          <cell r="A261" t="str">
            <v>m261</v>
          </cell>
          <cell r="D261">
            <v>0</v>
          </cell>
        </row>
        <row r="262">
          <cell r="A262" t="str">
            <v>m262</v>
          </cell>
          <cell r="D262">
            <v>0</v>
          </cell>
        </row>
        <row r="263">
          <cell r="A263" t="str">
            <v>m263</v>
          </cell>
          <cell r="D263">
            <v>0</v>
          </cell>
        </row>
        <row r="264">
          <cell r="A264" t="str">
            <v>m264</v>
          </cell>
        </row>
        <row r="265">
          <cell r="A265" t="str">
            <v>m265</v>
          </cell>
        </row>
        <row r="266">
          <cell r="A266" t="str">
            <v>m266</v>
          </cell>
        </row>
        <row r="267">
          <cell r="A267" t="str">
            <v>m267</v>
          </cell>
        </row>
        <row r="268">
          <cell r="A268" t="str">
            <v>m268</v>
          </cell>
        </row>
        <row r="269">
          <cell r="A269" t="str">
            <v>m269</v>
          </cell>
        </row>
        <row r="270">
          <cell r="A270" t="str">
            <v>m270</v>
          </cell>
          <cell r="D270">
            <v>0</v>
          </cell>
        </row>
        <row r="271">
          <cell r="A271" t="str">
            <v>m271</v>
          </cell>
          <cell r="D271">
            <v>0</v>
          </cell>
        </row>
        <row r="272">
          <cell r="A272" t="str">
            <v>m272</v>
          </cell>
          <cell r="D272">
            <v>0</v>
          </cell>
        </row>
        <row r="273">
          <cell r="A273" t="str">
            <v>m273</v>
          </cell>
          <cell r="D273">
            <v>0</v>
          </cell>
        </row>
        <row r="274">
          <cell r="A274" t="str">
            <v>m274</v>
          </cell>
          <cell r="D274">
            <v>0</v>
          </cell>
        </row>
        <row r="275">
          <cell r="A275" t="str">
            <v>m275</v>
          </cell>
          <cell r="D275">
            <v>0</v>
          </cell>
        </row>
        <row r="276">
          <cell r="A276" t="str">
            <v>m276</v>
          </cell>
          <cell r="D276">
            <v>0</v>
          </cell>
        </row>
        <row r="277">
          <cell r="A277" t="str">
            <v>m277</v>
          </cell>
          <cell r="D277">
            <v>0</v>
          </cell>
        </row>
        <row r="278">
          <cell r="A278" t="str">
            <v>m278</v>
          </cell>
          <cell r="D278">
            <v>0</v>
          </cell>
        </row>
        <row r="279">
          <cell r="A279" t="str">
            <v>m279</v>
          </cell>
          <cell r="D279">
            <v>0</v>
          </cell>
        </row>
        <row r="280">
          <cell r="A280" t="str">
            <v>m280</v>
          </cell>
          <cell r="D280">
            <v>0</v>
          </cell>
        </row>
        <row r="281">
          <cell r="A281" t="str">
            <v>m281</v>
          </cell>
          <cell r="D281">
            <v>0</v>
          </cell>
        </row>
        <row r="282">
          <cell r="A282" t="str">
            <v>m282</v>
          </cell>
          <cell r="D282">
            <v>0</v>
          </cell>
        </row>
        <row r="283">
          <cell r="A283" t="str">
            <v>m283</v>
          </cell>
          <cell r="D283">
            <v>0</v>
          </cell>
        </row>
        <row r="284">
          <cell r="A284" t="str">
            <v>m284</v>
          </cell>
          <cell r="D284">
            <v>0</v>
          </cell>
        </row>
        <row r="285">
          <cell r="A285" t="str">
            <v>m285</v>
          </cell>
          <cell r="D285">
            <v>0</v>
          </cell>
        </row>
        <row r="286">
          <cell r="A286" t="str">
            <v>m286</v>
          </cell>
          <cell r="D286">
            <v>0</v>
          </cell>
        </row>
        <row r="287">
          <cell r="A287" t="str">
            <v>m287</v>
          </cell>
          <cell r="D287">
            <v>0</v>
          </cell>
        </row>
        <row r="288">
          <cell r="A288" t="str">
            <v>m288</v>
          </cell>
          <cell r="D288">
            <v>0</v>
          </cell>
        </row>
        <row r="289">
          <cell r="A289" t="str">
            <v>m289</v>
          </cell>
          <cell r="D289">
            <v>0</v>
          </cell>
        </row>
        <row r="290">
          <cell r="A290" t="str">
            <v>m290</v>
          </cell>
          <cell r="D290">
            <v>0</v>
          </cell>
        </row>
        <row r="291">
          <cell r="A291" t="str">
            <v>m291</v>
          </cell>
          <cell r="D291">
            <v>0</v>
          </cell>
        </row>
        <row r="292">
          <cell r="A292" t="str">
            <v>m292</v>
          </cell>
          <cell r="D292">
            <v>0</v>
          </cell>
        </row>
      </sheetData>
      <sheetData sheetId="1">
        <row r="7">
          <cell r="A7">
            <v>1</v>
          </cell>
          <cell r="B7" t="str">
            <v>1</v>
          </cell>
          <cell r="C7" t="str">
            <v>RUBRO: TRABAJOS PREPARATORIOS</v>
          </cell>
          <cell r="E7" t="str">
            <v>1 RUBRO: TRABAJOS PREPARATORIOS</v>
          </cell>
        </row>
        <row r="8">
          <cell r="A8">
            <v>2</v>
          </cell>
          <cell r="B8">
            <v>1.1000000000000001</v>
          </cell>
          <cell r="C8" t="str">
            <v>Preparación y limpieza de los terrenos, Cierre y demoliciones</v>
          </cell>
          <cell r="D8" t="str">
            <v>m2</v>
          </cell>
          <cell r="E8" t="str">
            <v>1,1 Preparación y limpieza de los terrenos, Cierre y demoliciones</v>
          </cell>
          <cell r="F8">
            <v>1</v>
          </cell>
        </row>
        <row r="9">
          <cell r="A9">
            <v>3</v>
          </cell>
          <cell r="B9">
            <v>1.2</v>
          </cell>
          <cell r="C9" t="str">
            <v>Replanteo y otros</v>
          </cell>
          <cell r="D9" t="str">
            <v>m2</v>
          </cell>
          <cell r="E9" t="str">
            <v>1,2 Replanteo y otros</v>
          </cell>
          <cell r="F9">
            <v>2</v>
          </cell>
        </row>
        <row r="10">
          <cell r="A10">
            <v>4</v>
          </cell>
          <cell r="B10">
            <v>1.3</v>
          </cell>
          <cell r="C10" t="str">
            <v>Actividades complementarias</v>
          </cell>
          <cell r="D10" t="str">
            <v>gl</v>
          </cell>
          <cell r="E10" t="str">
            <v>1,3 Actividades complementarias</v>
          </cell>
          <cell r="F10">
            <v>3</v>
          </cell>
        </row>
        <row r="11">
          <cell r="A11">
            <v>5</v>
          </cell>
          <cell r="B11" t="str">
            <v>2</v>
          </cell>
          <cell r="C11" t="str">
            <v>RUBRO: MOVIMIENTO DE SUELOS</v>
          </cell>
          <cell r="D11" t="str">
            <v/>
          </cell>
          <cell r="E11" t="str">
            <v>2 RUBRO: MOVIMIENTO DE SUELOS</v>
          </cell>
        </row>
        <row r="12">
          <cell r="A12">
            <v>6</v>
          </cell>
          <cell r="B12">
            <v>2.1</v>
          </cell>
          <cell r="C12" t="str">
            <v>Relleno y compactación</v>
          </cell>
          <cell r="D12" t="str">
            <v>m3</v>
          </cell>
          <cell r="E12" t="str">
            <v>2,1 Relleno y compactación</v>
          </cell>
          <cell r="F12">
            <v>4</v>
          </cell>
        </row>
        <row r="13">
          <cell r="A13">
            <v>7</v>
          </cell>
          <cell r="B13">
            <v>2.2000000000000002</v>
          </cell>
          <cell r="C13" t="str">
            <v>Excavaciones p/fundaciones</v>
          </cell>
          <cell r="D13" t="str">
            <v>m3</v>
          </cell>
          <cell r="E13" t="str">
            <v>2,2 Excavaciones p/fundaciones</v>
          </cell>
          <cell r="F13">
            <v>5</v>
          </cell>
        </row>
        <row r="14">
          <cell r="A14">
            <v>8</v>
          </cell>
          <cell r="B14" t="str">
            <v>3</v>
          </cell>
          <cell r="C14" t="str">
            <v>RUBRO: ESTRUCTURA RESISTENTE</v>
          </cell>
          <cell r="D14" t="str">
            <v/>
          </cell>
          <cell r="E14" t="str">
            <v>3 RUBRO: ESTRUCTURA RESISTENTE</v>
          </cell>
        </row>
        <row r="15">
          <cell r="A15">
            <v>9</v>
          </cell>
          <cell r="B15" t="str">
            <v>3.1</v>
          </cell>
          <cell r="C15" t="str">
            <v>Estructura de Hº Aº</v>
          </cell>
          <cell r="D15" t="str">
            <v/>
          </cell>
          <cell r="E15" t="str">
            <v>3.1 Estructura de Hº Aº</v>
          </cell>
        </row>
        <row r="16">
          <cell r="A16">
            <v>10</v>
          </cell>
          <cell r="B16" t="str">
            <v>3,1,1</v>
          </cell>
          <cell r="C16" t="str">
            <v>Hormigones de limpieza y no estructurales</v>
          </cell>
          <cell r="D16" t="str">
            <v>m2</v>
          </cell>
          <cell r="E16" t="str">
            <v>3,1,1 Hormigones de limpieza y no estructurales</v>
          </cell>
          <cell r="F16">
            <v>6</v>
          </cell>
        </row>
        <row r="17">
          <cell r="A17">
            <v>11</v>
          </cell>
          <cell r="B17" t="str">
            <v>3,1,2</v>
          </cell>
          <cell r="C17" t="str">
            <v>Hormigones de Sobrecimientos de 0,20esp</v>
          </cell>
          <cell r="D17" t="str">
            <v>m3</v>
          </cell>
          <cell r="E17" t="str">
            <v>3,1,2 Hormigones de Sobrecimientos de 0,20esp</v>
          </cell>
          <cell r="F17">
            <v>7</v>
          </cell>
        </row>
        <row r="18">
          <cell r="A18">
            <v>12</v>
          </cell>
          <cell r="B18" t="str">
            <v>3,1,3</v>
          </cell>
          <cell r="C18" t="str">
            <v>Hormigones de Cimientos</v>
          </cell>
          <cell r="D18" t="str">
            <v>m3</v>
          </cell>
          <cell r="E18" t="str">
            <v>3,1,3 Hormigones de Cimientos</v>
          </cell>
          <cell r="F18">
            <v>8</v>
          </cell>
        </row>
        <row r="19">
          <cell r="A19">
            <v>13</v>
          </cell>
          <cell r="B19" t="str">
            <v>3,1,4</v>
          </cell>
          <cell r="C19" t="str">
            <v>Hormigones para zaptas, bases y vigas de fundación</v>
          </cell>
          <cell r="D19" t="str">
            <v>m3</v>
          </cell>
          <cell r="E19" t="str">
            <v>3,1,4 Hormigones para zaptas, bases y vigas de fundación</v>
          </cell>
          <cell r="F19">
            <v>9</v>
          </cell>
        </row>
        <row r="20">
          <cell r="A20">
            <v>14</v>
          </cell>
          <cell r="B20" t="str">
            <v>3,1,5</v>
          </cell>
          <cell r="C20" t="str">
            <v>Hormigones para vigas de arriostramiento</v>
          </cell>
          <cell r="D20" t="str">
            <v>m3</v>
          </cell>
          <cell r="E20" t="str">
            <v>3,1,5 Hormigones para vigas de arriostramiento</v>
          </cell>
          <cell r="F20">
            <v>10</v>
          </cell>
        </row>
        <row r="21">
          <cell r="A21">
            <v>15</v>
          </cell>
          <cell r="B21" t="str">
            <v>3,1,6</v>
          </cell>
          <cell r="C21" t="str">
            <v>Hormigones para columnas de carga</v>
          </cell>
          <cell r="D21" t="str">
            <v>m3</v>
          </cell>
          <cell r="E21" t="str">
            <v>3,1,6 Hormigones para columnas de carga</v>
          </cell>
          <cell r="F21">
            <v>11</v>
          </cell>
        </row>
        <row r="22">
          <cell r="A22">
            <v>16</v>
          </cell>
          <cell r="B22" t="str">
            <v>3,1,7</v>
          </cell>
          <cell r="C22" t="str">
            <v>Hormigones para columnas de encadenado</v>
          </cell>
          <cell r="D22" t="str">
            <v xml:space="preserve">m3 </v>
          </cell>
          <cell r="E22" t="str">
            <v>3,1,7 Hormigones para columnas de encadenado</v>
          </cell>
          <cell r="F22">
            <v>12</v>
          </cell>
        </row>
        <row r="23">
          <cell r="A23">
            <v>17</v>
          </cell>
          <cell r="B23" t="str">
            <v>3,1,9</v>
          </cell>
          <cell r="C23" t="str">
            <v>Hormigones para vigas de encadenado y dintel</v>
          </cell>
          <cell r="D23" t="str">
            <v>m3</v>
          </cell>
          <cell r="E23" t="str">
            <v>3,1,9 Hormigones para vigas de encadenado y dintel</v>
          </cell>
          <cell r="F23">
            <v>13</v>
          </cell>
        </row>
        <row r="24">
          <cell r="A24">
            <v>18</v>
          </cell>
          <cell r="B24" t="str">
            <v>3,1,10</v>
          </cell>
          <cell r="C24" t="str">
            <v>Losa Ceramicas</v>
          </cell>
          <cell r="D24" t="str">
            <v>m2</v>
          </cell>
          <cell r="E24" t="str">
            <v>3,1,10 Losa Ceramicas</v>
          </cell>
          <cell r="F24">
            <v>14</v>
          </cell>
        </row>
        <row r="25">
          <cell r="A25">
            <v>19</v>
          </cell>
          <cell r="B25" t="str">
            <v>3,1,13</v>
          </cell>
          <cell r="C25" t="str">
            <v>Hormigon armado para contrapiso</v>
          </cell>
          <cell r="D25" t="str">
            <v>m3</v>
          </cell>
          <cell r="E25" t="str">
            <v>3,1,13 Hormigon armado para contrapiso</v>
          </cell>
          <cell r="F25">
            <v>15</v>
          </cell>
        </row>
        <row r="26">
          <cell r="A26">
            <v>20</v>
          </cell>
          <cell r="B26">
            <v>3.2</v>
          </cell>
          <cell r="C26" t="str">
            <v>Cubierta y estructura metálica</v>
          </cell>
          <cell r="D26" t="str">
            <v/>
          </cell>
          <cell r="E26" t="str">
            <v>3,2 Cubierta y estructura metálica</v>
          </cell>
        </row>
        <row r="27">
          <cell r="A27">
            <v>21</v>
          </cell>
          <cell r="B27" t="str">
            <v>3,2,1</v>
          </cell>
          <cell r="C27" t="str">
            <v>Cubierta de Techo sobre losa ceramica</v>
          </cell>
          <cell r="D27" t="str">
            <v>m2</v>
          </cell>
          <cell r="E27" t="str">
            <v>3,2,1 Cubierta de Techo sobre losa ceramica</v>
          </cell>
          <cell r="F27">
            <v>16</v>
          </cell>
        </row>
        <row r="28">
          <cell r="A28">
            <v>22</v>
          </cell>
          <cell r="B28" t="str">
            <v>3,2,2</v>
          </cell>
          <cell r="C28" t="str">
            <v>Cubierta de paneles metálicos con aislación de 14cm</v>
          </cell>
          <cell r="D28" t="str">
            <v>m2</v>
          </cell>
          <cell r="E28" t="str">
            <v>3,2,2 Cubierta de paneles metálicos con aislación de 14cm</v>
          </cell>
          <cell r="F28">
            <v>17</v>
          </cell>
        </row>
        <row r="29">
          <cell r="A29">
            <v>23</v>
          </cell>
          <cell r="B29">
            <v>3.3</v>
          </cell>
          <cell r="C29" t="str">
            <v>Estructura de metálica</v>
          </cell>
          <cell r="D29" t="str">
            <v/>
          </cell>
          <cell r="E29" t="str">
            <v>3,3 Estructura de metálica</v>
          </cell>
        </row>
        <row r="30">
          <cell r="A30">
            <v>24</v>
          </cell>
          <cell r="B30" t="str">
            <v>3,3,1</v>
          </cell>
          <cell r="C30" t="str">
            <v>Estructura de metálica</v>
          </cell>
          <cell r="D30" t="str">
            <v>m2</v>
          </cell>
          <cell r="E30" t="str">
            <v>3,3,1 Estructura de metálica</v>
          </cell>
          <cell r="F30">
            <v>18</v>
          </cell>
        </row>
        <row r="31">
          <cell r="A31">
            <v>25</v>
          </cell>
          <cell r="B31" t="str">
            <v>4</v>
          </cell>
          <cell r="C31" t="str">
            <v>RUBRO: ALBAÑILERÍA</v>
          </cell>
          <cell r="D31" t="str">
            <v/>
          </cell>
          <cell r="E31" t="str">
            <v>4 RUBRO: ALBAÑILERÍA</v>
          </cell>
        </row>
        <row r="32">
          <cell r="A32">
            <v>26</v>
          </cell>
          <cell r="B32">
            <v>4.0999999999999996</v>
          </cell>
          <cell r="C32" t="str">
            <v>Muros</v>
          </cell>
          <cell r="D32" t="str">
            <v/>
          </cell>
          <cell r="E32" t="str">
            <v>4,1 Muros</v>
          </cell>
        </row>
        <row r="33">
          <cell r="A33">
            <v>27</v>
          </cell>
          <cell r="B33" t="str">
            <v>4,1,1</v>
          </cell>
          <cell r="C33" t="str">
            <v>Mamposterías de ladrillón de 0,20 m</v>
          </cell>
          <cell r="D33" t="str">
            <v>m2</v>
          </cell>
          <cell r="E33" t="str">
            <v>4,1,1 Mamposterías de ladrillón de 0,20 m</v>
          </cell>
          <cell r="F33">
            <v>19</v>
          </cell>
        </row>
        <row r="34">
          <cell r="A34">
            <v>28</v>
          </cell>
          <cell r="B34" t="str">
            <v>5</v>
          </cell>
          <cell r="C34" t="str">
            <v>RUBRO: REVESTIMIENTOS</v>
          </cell>
          <cell r="D34" t="str">
            <v/>
          </cell>
          <cell r="E34" t="str">
            <v>5 RUBRO: REVESTIMIENTOS</v>
          </cell>
        </row>
        <row r="35">
          <cell r="A35">
            <v>29</v>
          </cell>
          <cell r="B35" t="str">
            <v>5.1</v>
          </cell>
          <cell r="C35" t="str">
            <v>Revestimiento Cerámico en Baños</v>
          </cell>
          <cell r="D35" t="str">
            <v>m2</v>
          </cell>
          <cell r="E35" t="str">
            <v>5.1 Revestimiento Cerámico en Baños</v>
          </cell>
          <cell r="F35">
            <v>20</v>
          </cell>
        </row>
        <row r="36">
          <cell r="A36">
            <v>30</v>
          </cell>
          <cell r="B36" t="str">
            <v>5.2</v>
          </cell>
          <cell r="C36" t="str">
            <v>Antepechos de hormigón</v>
          </cell>
          <cell r="D36" t="str">
            <v>m2</v>
          </cell>
          <cell r="E36" t="str">
            <v>5.2 Antepechos de hormigón</v>
          </cell>
          <cell r="F36">
            <v>21</v>
          </cell>
        </row>
        <row r="37">
          <cell r="A37">
            <v>31</v>
          </cell>
          <cell r="B37" t="str">
            <v>6</v>
          </cell>
          <cell r="C37" t="str">
            <v>RUBRO: PISOS ZOCALOS UMBRALES Y SOLIAS</v>
          </cell>
          <cell r="D37" t="str">
            <v/>
          </cell>
          <cell r="E37" t="str">
            <v>6 RUBRO: PISOS ZOCALOS UMBRALES Y SOLIAS</v>
          </cell>
        </row>
        <row r="38">
          <cell r="A38">
            <v>32</v>
          </cell>
          <cell r="B38" t="str">
            <v>6.1</v>
          </cell>
          <cell r="C38" t="str">
            <v>Piso de mosaico granítico de 0,15 x 0,15 m</v>
          </cell>
          <cell r="D38" t="str">
            <v>m2</v>
          </cell>
          <cell r="E38" t="str">
            <v>6.1 Piso de mosaico granítico de 0,15 x 0,15 m</v>
          </cell>
          <cell r="F38">
            <v>22</v>
          </cell>
        </row>
        <row r="39">
          <cell r="A39">
            <v>33</v>
          </cell>
          <cell r="B39" t="str">
            <v>6.4</v>
          </cell>
          <cell r="C39" t="str">
            <v>Veredin Perimetral</v>
          </cell>
          <cell r="D39" t="str">
            <v>m2</v>
          </cell>
          <cell r="E39" t="str">
            <v>6.4 Veredin Perimetral</v>
          </cell>
          <cell r="F39">
            <v>23</v>
          </cell>
        </row>
        <row r="40">
          <cell r="A40">
            <v>34</v>
          </cell>
          <cell r="B40" t="str">
            <v>8</v>
          </cell>
          <cell r="C40" t="str">
            <v>RUBRO: CARPINTERIA</v>
          </cell>
          <cell r="D40" t="str">
            <v/>
          </cell>
          <cell r="E40" t="str">
            <v>8 RUBRO: CARPINTERIA</v>
          </cell>
        </row>
        <row r="41">
          <cell r="A41">
            <v>35</v>
          </cell>
          <cell r="B41" t="str">
            <v>8.1</v>
          </cell>
          <cell r="C41" t="str">
            <v>Carpinteria metálica</v>
          </cell>
          <cell r="D41" t="str">
            <v>gl</v>
          </cell>
          <cell r="E41" t="str">
            <v>8.1 Carpinteria metálica</v>
          </cell>
          <cell r="F41">
            <v>24</v>
          </cell>
        </row>
        <row r="42">
          <cell r="A42">
            <v>36</v>
          </cell>
          <cell r="B42" t="str">
            <v>9</v>
          </cell>
          <cell r="C42" t="str">
            <v>RUBRO: PINTURAS</v>
          </cell>
          <cell r="D42" t="str">
            <v/>
          </cell>
          <cell r="E42" t="str">
            <v>9 RUBRO: PINTURAS</v>
          </cell>
        </row>
        <row r="43">
          <cell r="A43">
            <v>37</v>
          </cell>
          <cell r="B43" t="str">
            <v>9.1</v>
          </cell>
          <cell r="C43" t="str">
            <v>Pinturas al látex en muros interiores y exterior</v>
          </cell>
          <cell r="D43" t="str">
            <v>m2</v>
          </cell>
          <cell r="E43" t="str">
            <v>9.1 Pinturas al látex en muros interiores y exterior</v>
          </cell>
          <cell r="F43">
            <v>25</v>
          </cell>
        </row>
        <row r="44">
          <cell r="A44">
            <v>38</v>
          </cell>
          <cell r="B44" t="str">
            <v>9.3</v>
          </cell>
          <cell r="C44" t="str">
            <v>Pintura en carpinterias</v>
          </cell>
          <cell r="D44" t="str">
            <v>m2</v>
          </cell>
          <cell r="E44" t="str">
            <v>9.3 Pintura en carpinterias</v>
          </cell>
          <cell r="F44">
            <v>26</v>
          </cell>
        </row>
        <row r="45">
          <cell r="A45">
            <v>39</v>
          </cell>
          <cell r="B45" t="str">
            <v>10</v>
          </cell>
          <cell r="C45" t="str">
            <v>RUBRO: INSTALACIÓN</v>
          </cell>
          <cell r="D45" t="str">
            <v/>
          </cell>
          <cell r="E45" t="str">
            <v>10 RUBRO: INSTALACIÓN</v>
          </cell>
        </row>
        <row r="46">
          <cell r="A46">
            <v>40</v>
          </cell>
          <cell r="B46" t="str">
            <v>10.1</v>
          </cell>
          <cell r="C46" t="str">
            <v>Instalaciones Sanitarias</v>
          </cell>
          <cell r="D46" t="str">
            <v>gl</v>
          </cell>
          <cell r="E46" t="str">
            <v>10.1 Instalaciones Sanitarias</v>
          </cell>
          <cell r="F46">
            <v>27</v>
          </cell>
        </row>
        <row r="47">
          <cell r="A47">
            <v>41</v>
          </cell>
          <cell r="B47" t="str">
            <v>10.2</v>
          </cell>
          <cell r="C47" t="str">
            <v>Instalaciones Electricas</v>
          </cell>
          <cell r="D47" t="str">
            <v>gl</v>
          </cell>
          <cell r="E47" t="str">
            <v>10.2 Instalaciones Electricas</v>
          </cell>
          <cell r="F47">
            <v>28</v>
          </cell>
        </row>
        <row r="48">
          <cell r="A48">
            <v>42</v>
          </cell>
          <cell r="B48" t="str">
            <v>10.4</v>
          </cell>
          <cell r="C48" t="str">
            <v>Instalaciones Servicio Contra Incendio</v>
          </cell>
          <cell r="D48" t="str">
            <v>gl</v>
          </cell>
          <cell r="E48" t="str">
            <v>10.4 Instalaciones Servicio Contra Incendio</v>
          </cell>
          <cell r="F48">
            <v>29</v>
          </cell>
        </row>
        <row r="49">
          <cell r="A49">
            <v>43</v>
          </cell>
          <cell r="B49">
            <v>10</v>
          </cell>
          <cell r="C49" t="str">
            <v>RUBRO: LIMPIEZA DE OBRA</v>
          </cell>
          <cell r="D49" t="str">
            <v/>
          </cell>
          <cell r="E49" t="str">
            <v>10 RUBRO: LIMPIEZA DE OBRA</v>
          </cell>
        </row>
        <row r="50">
          <cell r="A50">
            <v>44</v>
          </cell>
          <cell r="B50">
            <v>10.1</v>
          </cell>
          <cell r="C50" t="str">
            <v>Limpieza de obra periódica y final</v>
          </cell>
          <cell r="D50" t="str">
            <v>gl</v>
          </cell>
          <cell r="E50" t="str">
            <v>10,1 Limpieza de obra periódica y final</v>
          </cell>
          <cell r="F50">
            <v>30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8"/>
  <sheetViews>
    <sheetView workbookViewId="0">
      <pane ySplit="5" topLeftCell="A44" activePane="bottomLeft" state="frozen"/>
      <selection pane="bottomLeft" activeCell="B65" sqref="B65"/>
    </sheetView>
  </sheetViews>
  <sheetFormatPr baseColWidth="10" defaultRowHeight="12.75"/>
  <cols>
    <col min="1" max="1" width="5.42578125" style="5" bestFit="1" customWidth="1"/>
    <col min="2" max="2" width="8.5703125" style="5" customWidth="1"/>
    <col min="3" max="3" width="45.5703125" style="71" customWidth="1"/>
    <col min="4" max="4" width="8.140625" style="73" bestFit="1" customWidth="1"/>
    <col min="5" max="5" width="12.7109375" style="74" customWidth="1"/>
    <col min="6" max="6" width="27.28515625" style="71" customWidth="1"/>
    <col min="7" max="7" width="12.140625" style="74" bestFit="1" customWidth="1"/>
    <col min="8" max="8" width="32.5703125" style="71" customWidth="1"/>
    <col min="9" max="9" width="17.5703125" style="75" customWidth="1"/>
    <col min="10" max="14" width="11.42578125" style="71"/>
    <col min="15" max="15" width="12.42578125" style="71" bestFit="1" customWidth="1"/>
    <col min="16" max="16384" width="11.42578125" style="71"/>
  </cols>
  <sheetData>
    <row r="1" spans="1:9" ht="14.25" thickTop="1" thickBot="1">
      <c r="A1" s="586" t="s">
        <v>1259</v>
      </c>
      <c r="B1" s="586"/>
      <c r="C1" s="586"/>
      <c r="D1" s="586"/>
      <c r="E1" s="586"/>
      <c r="F1" s="586"/>
      <c r="G1" s="586"/>
      <c r="H1" s="586"/>
      <c r="I1" s="587"/>
    </row>
    <row r="2" spans="1:9" ht="13.5" thickTop="1">
      <c r="A2" s="70"/>
      <c r="B2" s="70"/>
      <c r="C2" s="70"/>
      <c r="D2" s="70" t="s">
        <v>1264</v>
      </c>
      <c r="E2" s="91">
        <v>1</v>
      </c>
      <c r="F2" s="70"/>
      <c r="G2" s="70"/>
      <c r="H2" s="70"/>
      <c r="I2" s="70"/>
    </row>
    <row r="3" spans="1:9">
      <c r="A3" s="70"/>
      <c r="B3" s="70"/>
      <c r="C3" s="70"/>
      <c r="D3" s="70" t="s">
        <v>1264</v>
      </c>
      <c r="E3" s="91">
        <v>1</v>
      </c>
      <c r="F3" s="70"/>
      <c r="G3" s="70"/>
      <c r="H3" s="70"/>
      <c r="I3" s="70"/>
    </row>
    <row r="4" spans="1:9">
      <c r="A4" s="70"/>
      <c r="B4" s="70"/>
      <c r="C4" s="70"/>
      <c r="D4" s="70" t="s">
        <v>1264</v>
      </c>
      <c r="E4" s="91">
        <v>1</v>
      </c>
      <c r="F4" s="70"/>
      <c r="G4" s="70"/>
      <c r="H4" s="70"/>
      <c r="I4" s="70"/>
    </row>
    <row r="5" spans="1:9" s="72" customFormat="1">
      <c r="A5" s="4" t="s">
        <v>1260</v>
      </c>
      <c r="B5" s="4" t="s">
        <v>23</v>
      </c>
      <c r="C5" s="92" t="s">
        <v>1263</v>
      </c>
      <c r="D5" s="92" t="s">
        <v>24</v>
      </c>
      <c r="E5" s="93" t="s">
        <v>25</v>
      </c>
      <c r="F5" s="92" t="s">
        <v>92</v>
      </c>
      <c r="G5" s="93" t="s">
        <v>26</v>
      </c>
      <c r="H5" s="92" t="s">
        <v>27</v>
      </c>
      <c r="I5" s="94" t="s">
        <v>1261</v>
      </c>
    </row>
    <row r="6" spans="1:9" s="72" customFormat="1" ht="15" customHeight="1">
      <c r="A6" s="4">
        <v>1</v>
      </c>
      <c r="B6" s="9" t="s">
        <v>31</v>
      </c>
      <c r="C6" s="73" t="s">
        <v>116</v>
      </c>
      <c r="D6" s="73" t="s">
        <v>116</v>
      </c>
      <c r="E6" s="74">
        <f>+G6*$E$2*$E$3*$E$4</f>
        <v>0</v>
      </c>
      <c r="F6" s="71"/>
      <c r="G6" s="74">
        <v>0</v>
      </c>
      <c r="H6" s="71"/>
      <c r="I6" s="137"/>
    </row>
    <row r="7" spans="1:9" s="72" customFormat="1">
      <c r="A7" s="4">
        <v>2</v>
      </c>
      <c r="B7" s="10" t="s">
        <v>32</v>
      </c>
      <c r="C7" s="71" t="s">
        <v>2082</v>
      </c>
      <c r="D7" s="73" t="s">
        <v>94</v>
      </c>
      <c r="E7" s="74">
        <v>5</v>
      </c>
      <c r="F7" s="71"/>
      <c r="G7" s="74">
        <v>1.5</v>
      </c>
      <c r="H7" s="71"/>
      <c r="I7" s="137"/>
    </row>
    <row r="8" spans="1:9" s="72" customFormat="1">
      <c r="A8" s="4">
        <v>3</v>
      </c>
      <c r="B8" s="10" t="s">
        <v>33</v>
      </c>
      <c r="C8" s="71" t="s">
        <v>2083</v>
      </c>
      <c r="D8" s="73" t="s">
        <v>94</v>
      </c>
      <c r="E8" s="74">
        <v>5</v>
      </c>
      <c r="F8" s="71"/>
      <c r="G8" s="74">
        <v>2.5</v>
      </c>
      <c r="H8" s="71"/>
      <c r="I8" s="137"/>
    </row>
    <row r="9" spans="1:9" s="72" customFormat="1">
      <c r="A9" s="4">
        <v>4</v>
      </c>
      <c r="B9" s="10" t="s">
        <v>34</v>
      </c>
      <c r="C9" s="71" t="s">
        <v>2084</v>
      </c>
      <c r="D9" s="73" t="s">
        <v>94</v>
      </c>
      <c r="E9" s="74">
        <f t="shared" ref="E9:E71" si="0">+G9*$E$2*$E$3*$E$4</f>
        <v>5</v>
      </c>
      <c r="F9" s="71"/>
      <c r="G9" s="74">
        <v>5</v>
      </c>
      <c r="H9" s="71"/>
      <c r="I9" s="137"/>
    </row>
    <row r="10" spans="1:9" s="72" customFormat="1">
      <c r="A10" s="4">
        <v>5</v>
      </c>
      <c r="B10" s="10" t="s">
        <v>35</v>
      </c>
      <c r="C10" s="71" t="s">
        <v>2087</v>
      </c>
      <c r="D10" s="73" t="s">
        <v>94</v>
      </c>
      <c r="E10" s="74">
        <f t="shared" si="0"/>
        <v>10</v>
      </c>
      <c r="F10" s="71"/>
      <c r="G10" s="74">
        <v>10</v>
      </c>
      <c r="H10" s="71"/>
      <c r="I10" s="137"/>
    </row>
    <row r="11" spans="1:9" s="72" customFormat="1">
      <c r="A11" s="4">
        <v>6</v>
      </c>
      <c r="B11" s="10" t="s">
        <v>36</v>
      </c>
      <c r="C11" s="71" t="s">
        <v>2117</v>
      </c>
      <c r="D11" s="73" t="s">
        <v>94</v>
      </c>
      <c r="E11" s="74">
        <v>10</v>
      </c>
      <c r="F11" s="71"/>
      <c r="G11" s="74">
        <v>25</v>
      </c>
      <c r="H11" s="71"/>
      <c r="I11" s="137"/>
    </row>
    <row r="12" spans="1:9" s="72" customFormat="1">
      <c r="A12" s="4">
        <v>7</v>
      </c>
      <c r="B12" s="10" t="s">
        <v>37</v>
      </c>
      <c r="C12" s="71" t="s">
        <v>93</v>
      </c>
      <c r="D12" s="73" t="s">
        <v>94</v>
      </c>
      <c r="E12" s="74">
        <f t="shared" si="0"/>
        <v>50</v>
      </c>
      <c r="F12" s="71"/>
      <c r="G12" s="74">
        <v>50</v>
      </c>
      <c r="H12" s="71"/>
      <c r="I12" s="137"/>
    </row>
    <row r="13" spans="1:9" s="72" customFormat="1">
      <c r="A13" s="4">
        <v>8</v>
      </c>
      <c r="B13" s="10" t="s">
        <v>38</v>
      </c>
      <c r="C13" s="71" t="s">
        <v>93</v>
      </c>
      <c r="D13" s="73" t="s">
        <v>94</v>
      </c>
      <c r="E13" s="74">
        <f t="shared" si="0"/>
        <v>100</v>
      </c>
      <c r="F13" s="71"/>
      <c r="G13" s="74">
        <v>100</v>
      </c>
      <c r="H13" s="71"/>
      <c r="I13" s="137"/>
    </row>
    <row r="14" spans="1:9" s="72" customFormat="1">
      <c r="A14" s="4">
        <v>9</v>
      </c>
      <c r="B14" s="10" t="s">
        <v>39</v>
      </c>
      <c r="C14" s="71" t="s">
        <v>93</v>
      </c>
      <c r="D14" s="73" t="s">
        <v>94</v>
      </c>
      <c r="E14" s="74">
        <f t="shared" si="0"/>
        <v>250</v>
      </c>
      <c r="F14" s="71"/>
      <c r="G14" s="74">
        <v>250</v>
      </c>
      <c r="H14" s="71"/>
      <c r="I14" s="137"/>
    </row>
    <row r="15" spans="1:9" s="72" customFormat="1">
      <c r="A15" s="4">
        <v>10</v>
      </c>
      <c r="B15" s="10" t="s">
        <v>40</v>
      </c>
      <c r="C15" s="71" t="s">
        <v>93</v>
      </c>
      <c r="D15" s="73" t="s">
        <v>94</v>
      </c>
      <c r="E15" s="74">
        <f t="shared" si="0"/>
        <v>500</v>
      </c>
      <c r="F15" s="71"/>
      <c r="G15" s="74">
        <v>500</v>
      </c>
      <c r="H15" s="71"/>
      <c r="I15" s="137"/>
    </row>
    <row r="16" spans="1:9" s="72" customFormat="1">
      <c r="A16" s="4">
        <v>11</v>
      </c>
      <c r="B16" s="10" t="s">
        <v>41</v>
      </c>
      <c r="C16" s="71" t="s">
        <v>93</v>
      </c>
      <c r="D16" s="73" t="s">
        <v>94</v>
      </c>
      <c r="E16" s="74">
        <f t="shared" si="0"/>
        <v>1000</v>
      </c>
      <c r="F16" s="71"/>
      <c r="G16" s="74">
        <v>1000</v>
      </c>
      <c r="H16" s="71"/>
      <c r="I16" s="137"/>
    </row>
    <row r="17" spans="1:9" s="72" customFormat="1">
      <c r="A17" s="4">
        <v>12</v>
      </c>
      <c r="B17" s="10" t="s">
        <v>42</v>
      </c>
      <c r="C17" s="71" t="s">
        <v>93</v>
      </c>
      <c r="D17" s="73" t="s">
        <v>94</v>
      </c>
      <c r="E17" s="74">
        <f t="shared" si="0"/>
        <v>1500</v>
      </c>
      <c r="F17" s="71"/>
      <c r="G17" s="74">
        <v>1500</v>
      </c>
      <c r="H17" s="71"/>
      <c r="I17" s="137"/>
    </row>
    <row r="18" spans="1:9" s="72" customFormat="1">
      <c r="A18" s="4">
        <v>13</v>
      </c>
      <c r="B18" s="10" t="s">
        <v>43</v>
      </c>
      <c r="C18" s="71" t="s">
        <v>93</v>
      </c>
      <c r="D18" s="73" t="s">
        <v>94</v>
      </c>
      <c r="E18" s="74">
        <f t="shared" si="0"/>
        <v>2000</v>
      </c>
      <c r="F18" s="71"/>
      <c r="G18" s="74">
        <v>2000</v>
      </c>
      <c r="H18" s="71"/>
      <c r="I18" s="137"/>
    </row>
    <row r="19" spans="1:9" s="72" customFormat="1">
      <c r="A19" s="4">
        <v>14</v>
      </c>
      <c r="B19" s="10" t="s">
        <v>44</v>
      </c>
      <c r="C19" s="71" t="s">
        <v>1940</v>
      </c>
      <c r="D19" s="73" t="s">
        <v>2</v>
      </c>
      <c r="E19" s="74">
        <f t="shared" si="0"/>
        <v>0</v>
      </c>
      <c r="F19" s="71"/>
      <c r="G19" s="74">
        <v>0</v>
      </c>
      <c r="H19" s="71"/>
      <c r="I19" s="137"/>
    </row>
    <row r="20" spans="1:9" s="72" customFormat="1">
      <c r="A20" s="4">
        <v>15</v>
      </c>
      <c r="B20" s="10" t="s">
        <v>45</v>
      </c>
      <c r="C20" s="71" t="s">
        <v>1941</v>
      </c>
      <c r="D20" s="73" t="s">
        <v>2</v>
      </c>
      <c r="E20" s="74">
        <f t="shared" si="0"/>
        <v>25</v>
      </c>
      <c r="F20" s="71"/>
      <c r="G20" s="74">
        <v>25</v>
      </c>
      <c r="H20" s="71"/>
      <c r="I20" s="137"/>
    </row>
    <row r="21" spans="1:9" ht="15" customHeight="1">
      <c r="A21" s="4">
        <v>16</v>
      </c>
      <c r="B21" s="10" t="s">
        <v>46</v>
      </c>
      <c r="C21" s="71" t="s">
        <v>1544</v>
      </c>
      <c r="D21" s="73" t="s">
        <v>1268</v>
      </c>
      <c r="E21" s="74">
        <f t="shared" si="0"/>
        <v>380</v>
      </c>
      <c r="G21" s="74">
        <v>380</v>
      </c>
      <c r="I21" s="137">
        <v>42641</v>
      </c>
    </row>
    <row r="22" spans="1:9">
      <c r="A22" s="4">
        <v>17</v>
      </c>
      <c r="B22" s="10" t="s">
        <v>47</v>
      </c>
      <c r="C22" s="65" t="s">
        <v>1676</v>
      </c>
      <c r="D22" s="73" t="s">
        <v>82</v>
      </c>
      <c r="E22" s="74">
        <f t="shared" si="0"/>
        <v>72</v>
      </c>
      <c r="G22" s="74">
        <v>72</v>
      </c>
      <c r="I22" s="137"/>
    </row>
    <row r="23" spans="1:9">
      <c r="A23" s="4">
        <v>18</v>
      </c>
      <c r="B23" s="10" t="s">
        <v>48</v>
      </c>
      <c r="C23" s="65" t="s">
        <v>1942</v>
      </c>
      <c r="D23" s="73" t="s">
        <v>94</v>
      </c>
      <c r="E23" s="74">
        <f t="shared" si="0"/>
        <v>10</v>
      </c>
      <c r="G23" s="74">
        <f>(1*5*2)</f>
        <v>10</v>
      </c>
      <c r="I23" s="137"/>
    </row>
    <row r="24" spans="1:9">
      <c r="A24" s="4">
        <v>19</v>
      </c>
      <c r="B24" s="10" t="s">
        <v>49</v>
      </c>
      <c r="C24" s="65" t="s">
        <v>1694</v>
      </c>
      <c r="D24" s="73" t="s">
        <v>2</v>
      </c>
      <c r="E24" s="74">
        <f t="shared" si="0"/>
        <v>11.726000000000001</v>
      </c>
      <c r="G24" s="274">
        <f>(63.96/6)*1.1</f>
        <v>11.726000000000001</v>
      </c>
      <c r="H24" s="71" t="s">
        <v>1533</v>
      </c>
      <c r="I24" s="137"/>
    </row>
    <row r="25" spans="1:9">
      <c r="A25" s="4">
        <v>20</v>
      </c>
      <c r="B25" s="10" t="s">
        <v>50</v>
      </c>
      <c r="C25" s="65" t="s">
        <v>1943</v>
      </c>
      <c r="D25" s="73" t="s">
        <v>2</v>
      </c>
      <c r="E25" s="74">
        <f t="shared" si="0"/>
        <v>18.600000000000001</v>
      </c>
      <c r="G25" s="274">
        <f>37.2/2</f>
        <v>18.600000000000001</v>
      </c>
      <c r="H25" s="71" t="s">
        <v>1693</v>
      </c>
      <c r="I25" s="137"/>
    </row>
    <row r="26" spans="1:9">
      <c r="A26" s="4">
        <v>21</v>
      </c>
      <c r="B26" s="10" t="s">
        <v>51</v>
      </c>
      <c r="C26" s="65" t="s">
        <v>1944</v>
      </c>
      <c r="D26" s="73" t="s">
        <v>2</v>
      </c>
      <c r="E26" s="74">
        <f t="shared" si="0"/>
        <v>22.03856749311295</v>
      </c>
      <c r="G26" s="274">
        <f>160/1.21/6</f>
        <v>22.03856749311295</v>
      </c>
      <c r="I26" s="137"/>
    </row>
    <row r="27" spans="1:9">
      <c r="A27" s="4">
        <v>22</v>
      </c>
      <c r="B27" s="10" t="s">
        <v>52</v>
      </c>
      <c r="C27" s="65" t="s">
        <v>1945</v>
      </c>
      <c r="D27" s="73" t="s">
        <v>2</v>
      </c>
      <c r="E27" s="74">
        <f t="shared" si="0"/>
        <v>16.528925619834713</v>
      </c>
      <c r="G27" s="274">
        <f>50/1.21/2.5</f>
        <v>16.528925619834713</v>
      </c>
      <c r="I27" s="137"/>
    </row>
    <row r="28" spans="1:9">
      <c r="A28" s="4">
        <v>23</v>
      </c>
      <c r="B28" s="10" t="s">
        <v>53</v>
      </c>
      <c r="C28" s="76" t="s">
        <v>832</v>
      </c>
      <c r="D28" s="73" t="s">
        <v>2</v>
      </c>
      <c r="E28" s="74">
        <f t="shared" si="0"/>
        <v>230</v>
      </c>
      <c r="G28" s="74">
        <v>230</v>
      </c>
      <c r="I28" s="137"/>
    </row>
    <row r="29" spans="1:9">
      <c r="A29" s="4">
        <v>24</v>
      </c>
      <c r="B29" s="10" t="s">
        <v>54</v>
      </c>
      <c r="C29" s="65" t="s">
        <v>830</v>
      </c>
      <c r="D29" s="73" t="s">
        <v>82</v>
      </c>
      <c r="E29" s="74">
        <f t="shared" si="0"/>
        <v>10000</v>
      </c>
      <c r="G29" s="74">
        <v>10000</v>
      </c>
      <c r="I29" s="137"/>
    </row>
    <row r="30" spans="1:9">
      <c r="A30" s="4">
        <v>25</v>
      </c>
      <c r="B30" s="10" t="s">
        <v>55</v>
      </c>
      <c r="C30" s="65" t="s">
        <v>1946</v>
      </c>
      <c r="D30" s="73" t="s">
        <v>82</v>
      </c>
      <c r="E30" s="74">
        <f t="shared" si="0"/>
        <v>1500</v>
      </c>
      <c r="G30" s="74">
        <v>1500</v>
      </c>
      <c r="I30" s="137"/>
    </row>
    <row r="31" spans="1:9">
      <c r="A31" s="4">
        <v>26</v>
      </c>
      <c r="B31" s="10" t="s">
        <v>56</v>
      </c>
      <c r="C31" s="65" t="s">
        <v>1914</v>
      </c>
      <c r="D31" s="73" t="s">
        <v>1268</v>
      </c>
      <c r="E31" s="74">
        <f t="shared" si="0"/>
        <v>7</v>
      </c>
      <c r="G31" s="74">
        <v>7</v>
      </c>
      <c r="I31" s="137"/>
    </row>
    <row r="32" spans="1:9">
      <c r="A32" s="4">
        <v>27</v>
      </c>
      <c r="B32" s="10" t="s">
        <v>57</v>
      </c>
      <c r="C32" s="65" t="s">
        <v>2081</v>
      </c>
      <c r="D32" s="73" t="s">
        <v>94</v>
      </c>
      <c r="E32" s="74">
        <f t="shared" si="0"/>
        <v>0</v>
      </c>
      <c r="G32" s="74">
        <v>0</v>
      </c>
      <c r="I32" s="137"/>
    </row>
    <row r="33" spans="1:9">
      <c r="A33" s="4">
        <v>28</v>
      </c>
      <c r="B33" s="10" t="s">
        <v>58</v>
      </c>
      <c r="C33" s="65" t="s">
        <v>2441</v>
      </c>
      <c r="D33" s="73" t="s">
        <v>67</v>
      </c>
      <c r="E33" s="413">
        <f t="shared" si="0"/>
        <v>5</v>
      </c>
      <c r="G33" s="74">
        <v>5</v>
      </c>
      <c r="I33" s="137"/>
    </row>
    <row r="34" spans="1:9">
      <c r="A34" s="4">
        <v>29</v>
      </c>
      <c r="B34" s="10" t="s">
        <v>59</v>
      </c>
      <c r="C34" s="65" t="s">
        <v>2442</v>
      </c>
      <c r="D34" s="73" t="s">
        <v>67</v>
      </c>
      <c r="E34" s="74">
        <f t="shared" si="0"/>
        <v>0</v>
      </c>
      <c r="G34" s="74">
        <v>0</v>
      </c>
      <c r="I34" s="137"/>
    </row>
    <row r="35" spans="1:9">
      <c r="A35" s="4">
        <v>30</v>
      </c>
      <c r="B35" s="10" t="s">
        <v>60</v>
      </c>
      <c r="C35" s="65" t="s">
        <v>1704</v>
      </c>
      <c r="D35" s="73" t="s">
        <v>82</v>
      </c>
      <c r="E35" s="74">
        <f t="shared" si="0"/>
        <v>0</v>
      </c>
      <c r="G35" s="74">
        <v>0</v>
      </c>
      <c r="I35" s="137"/>
    </row>
    <row r="36" spans="1:9">
      <c r="A36" s="4">
        <v>31</v>
      </c>
      <c r="B36" s="10" t="s">
        <v>61</v>
      </c>
      <c r="C36" s="65" t="s">
        <v>1947</v>
      </c>
      <c r="D36" s="73" t="s">
        <v>82</v>
      </c>
      <c r="E36" s="74">
        <f t="shared" si="0"/>
        <v>0</v>
      </c>
      <c r="G36" s="74">
        <v>0</v>
      </c>
      <c r="I36" s="137"/>
    </row>
    <row r="37" spans="1:9">
      <c r="A37" s="4">
        <v>32</v>
      </c>
      <c r="B37" s="10" t="s">
        <v>62</v>
      </c>
      <c r="C37" s="65" t="s">
        <v>2448</v>
      </c>
      <c r="D37" s="73" t="s">
        <v>94</v>
      </c>
      <c r="E37" s="74">
        <f t="shared" si="0"/>
        <v>10</v>
      </c>
      <c r="G37" s="74">
        <v>10</v>
      </c>
      <c r="I37" s="137"/>
    </row>
    <row r="38" spans="1:9">
      <c r="A38" s="4">
        <v>33</v>
      </c>
      <c r="B38" s="10" t="s">
        <v>63</v>
      </c>
      <c r="C38" s="65" t="s">
        <v>1929</v>
      </c>
      <c r="D38" s="73" t="s">
        <v>82</v>
      </c>
      <c r="E38" s="74">
        <f t="shared" si="0"/>
        <v>0</v>
      </c>
      <c r="G38" s="74">
        <v>0</v>
      </c>
      <c r="I38" s="137"/>
    </row>
    <row r="39" spans="1:9">
      <c r="A39" s="4">
        <v>34</v>
      </c>
      <c r="B39" s="10" t="s">
        <v>64</v>
      </c>
      <c r="C39" s="65" t="s">
        <v>1930</v>
      </c>
      <c r="D39" s="73" t="s">
        <v>82</v>
      </c>
      <c r="E39" s="74">
        <f t="shared" si="0"/>
        <v>0</v>
      </c>
      <c r="G39" s="74">
        <v>0</v>
      </c>
      <c r="I39" s="137"/>
    </row>
    <row r="40" spans="1:9">
      <c r="A40" s="4">
        <v>35</v>
      </c>
      <c r="B40" s="10" t="s">
        <v>138</v>
      </c>
      <c r="C40" s="65" t="s">
        <v>1931</v>
      </c>
      <c r="D40" s="73" t="s">
        <v>82</v>
      </c>
      <c r="E40" s="74">
        <f t="shared" si="0"/>
        <v>0</v>
      </c>
      <c r="G40" s="74">
        <v>0</v>
      </c>
      <c r="I40" s="137"/>
    </row>
    <row r="41" spans="1:9">
      <c r="A41" s="4">
        <v>36</v>
      </c>
      <c r="B41" s="10" t="s">
        <v>139</v>
      </c>
      <c r="C41" s="65" t="s">
        <v>1932</v>
      </c>
      <c r="D41" s="73" t="s">
        <v>82</v>
      </c>
      <c r="E41" s="74">
        <f t="shared" si="0"/>
        <v>0</v>
      </c>
      <c r="G41" s="74">
        <v>0</v>
      </c>
      <c r="I41" s="137"/>
    </row>
    <row r="42" spans="1:9">
      <c r="A42" s="4">
        <v>37</v>
      </c>
      <c r="B42" s="10" t="s">
        <v>140</v>
      </c>
      <c r="C42" s="65" t="s">
        <v>1933</v>
      </c>
      <c r="D42" s="73" t="s">
        <v>82</v>
      </c>
      <c r="E42" s="74">
        <f t="shared" si="0"/>
        <v>0</v>
      </c>
      <c r="G42" s="74">
        <v>0</v>
      </c>
      <c r="I42" s="137"/>
    </row>
    <row r="43" spans="1:9">
      <c r="A43" s="4">
        <v>38</v>
      </c>
      <c r="B43" s="10" t="s">
        <v>141</v>
      </c>
      <c r="C43" s="65" t="s">
        <v>1934</v>
      </c>
      <c r="D43" s="73" t="s">
        <v>82</v>
      </c>
      <c r="E43" s="74">
        <f t="shared" si="0"/>
        <v>0</v>
      </c>
      <c r="G43" s="74">
        <v>0</v>
      </c>
      <c r="I43" s="137"/>
    </row>
    <row r="44" spans="1:9">
      <c r="A44" s="4">
        <v>39</v>
      </c>
      <c r="B44" s="10" t="s">
        <v>142</v>
      </c>
      <c r="C44" s="71" t="s">
        <v>1948</v>
      </c>
      <c r="D44" s="73" t="s">
        <v>82</v>
      </c>
      <c r="E44" s="74">
        <f t="shared" si="0"/>
        <v>0</v>
      </c>
      <c r="G44" s="74">
        <v>0</v>
      </c>
      <c r="I44" s="137"/>
    </row>
    <row r="45" spans="1:9">
      <c r="A45" s="4">
        <v>40</v>
      </c>
      <c r="B45" s="10" t="s">
        <v>143</v>
      </c>
      <c r="C45" s="71" t="s">
        <v>2462</v>
      </c>
      <c r="D45" s="73" t="s">
        <v>1679</v>
      </c>
      <c r="E45" s="413">
        <f t="shared" si="0"/>
        <v>30.7</v>
      </c>
      <c r="G45" s="74">
        <v>30.7</v>
      </c>
      <c r="I45" s="137"/>
    </row>
    <row r="46" spans="1:9">
      <c r="A46" s="4">
        <v>41</v>
      </c>
      <c r="B46" s="10" t="s">
        <v>144</v>
      </c>
      <c r="C46" s="71" t="s">
        <v>1949</v>
      </c>
      <c r="D46" s="73" t="s">
        <v>82</v>
      </c>
      <c r="E46" s="74">
        <f t="shared" si="0"/>
        <v>0</v>
      </c>
      <c r="G46" s="74">
        <v>0</v>
      </c>
      <c r="I46" s="137"/>
    </row>
    <row r="47" spans="1:9">
      <c r="A47" s="4">
        <v>42</v>
      </c>
      <c r="B47" s="10" t="s">
        <v>145</v>
      </c>
      <c r="C47" s="71" t="s">
        <v>2103</v>
      </c>
      <c r="D47" s="73" t="s">
        <v>82</v>
      </c>
      <c r="E47" s="74">
        <f t="shared" si="0"/>
        <v>40</v>
      </c>
      <c r="G47" s="74">
        <v>40</v>
      </c>
      <c r="I47" s="137"/>
    </row>
    <row r="48" spans="1:9">
      <c r="A48" s="4">
        <v>43</v>
      </c>
      <c r="B48" s="10" t="s">
        <v>146</v>
      </c>
      <c r="C48" s="71" t="s">
        <v>2463</v>
      </c>
      <c r="D48" s="73" t="s">
        <v>67</v>
      </c>
      <c r="E48" s="414">
        <f t="shared" si="0"/>
        <v>8</v>
      </c>
      <c r="G48" s="74">
        <v>8</v>
      </c>
      <c r="I48" s="137"/>
    </row>
    <row r="49" spans="1:9">
      <c r="A49" s="4">
        <v>44</v>
      </c>
      <c r="B49" s="10" t="s">
        <v>147</v>
      </c>
      <c r="C49" s="71" t="s">
        <v>2452</v>
      </c>
      <c r="D49" s="73" t="s">
        <v>94</v>
      </c>
      <c r="E49" s="74">
        <f t="shared" si="0"/>
        <v>15000</v>
      </c>
      <c r="G49" s="74">
        <v>15000</v>
      </c>
      <c r="I49" s="137"/>
    </row>
    <row r="50" spans="1:9">
      <c r="A50" s="4">
        <v>45</v>
      </c>
      <c r="B50" s="10" t="s">
        <v>148</v>
      </c>
      <c r="C50" s="71" t="s">
        <v>2453</v>
      </c>
      <c r="D50" s="73" t="s">
        <v>94</v>
      </c>
      <c r="E50" s="74">
        <f t="shared" si="0"/>
        <v>1000</v>
      </c>
      <c r="G50" s="74">
        <v>1000</v>
      </c>
      <c r="I50" s="137"/>
    </row>
    <row r="51" spans="1:9">
      <c r="A51" s="4">
        <v>46</v>
      </c>
      <c r="B51" s="10" t="s">
        <v>149</v>
      </c>
      <c r="C51" s="71" t="s">
        <v>2456</v>
      </c>
      <c r="D51" s="73" t="s">
        <v>94</v>
      </c>
      <c r="E51" s="74">
        <f t="shared" si="0"/>
        <v>2500</v>
      </c>
      <c r="G51" s="74">
        <v>2500</v>
      </c>
      <c r="I51" s="137"/>
    </row>
    <row r="52" spans="1:9">
      <c r="A52" s="4">
        <v>47</v>
      </c>
      <c r="B52" s="10" t="s">
        <v>150</v>
      </c>
      <c r="E52" s="74">
        <f t="shared" si="0"/>
        <v>0</v>
      </c>
      <c r="G52" s="74">
        <v>0</v>
      </c>
      <c r="I52" s="137"/>
    </row>
    <row r="53" spans="1:9">
      <c r="A53" s="4">
        <v>48</v>
      </c>
      <c r="B53" s="10" t="s">
        <v>151</v>
      </c>
      <c r="E53" s="74">
        <f t="shared" si="0"/>
        <v>0</v>
      </c>
      <c r="G53" s="74">
        <v>0</v>
      </c>
      <c r="I53" s="137"/>
    </row>
    <row r="54" spans="1:9">
      <c r="A54" s="4">
        <v>49</v>
      </c>
      <c r="B54" s="10" t="s">
        <v>152</v>
      </c>
      <c r="E54" s="74">
        <f t="shared" si="0"/>
        <v>0</v>
      </c>
      <c r="G54" s="74">
        <v>0</v>
      </c>
      <c r="I54" s="137"/>
    </row>
    <row r="55" spans="1:9">
      <c r="A55" s="4">
        <v>50</v>
      </c>
      <c r="B55" s="10" t="s">
        <v>153</v>
      </c>
      <c r="E55" s="74">
        <f t="shared" si="0"/>
        <v>0</v>
      </c>
      <c r="G55" s="74">
        <v>0</v>
      </c>
      <c r="I55" s="137"/>
    </row>
    <row r="56" spans="1:9">
      <c r="A56" s="4">
        <v>51</v>
      </c>
      <c r="B56" s="10" t="s">
        <v>154</v>
      </c>
      <c r="C56" s="71" t="s">
        <v>68</v>
      </c>
      <c r="D56" s="73" t="s">
        <v>1269</v>
      </c>
      <c r="E56" s="74">
        <f t="shared" si="0"/>
        <v>200</v>
      </c>
      <c r="G56" s="74">
        <f>120+80</f>
        <v>200</v>
      </c>
      <c r="H56" s="71" t="s">
        <v>2064</v>
      </c>
      <c r="I56" s="137">
        <v>42530</v>
      </c>
    </row>
    <row r="57" spans="1:9">
      <c r="A57" s="4">
        <v>52</v>
      </c>
      <c r="B57" s="10" t="s">
        <v>155</v>
      </c>
      <c r="C57" s="71" t="s">
        <v>1912</v>
      </c>
      <c r="D57" s="73" t="s">
        <v>1269</v>
      </c>
      <c r="E57" s="74">
        <f t="shared" si="0"/>
        <v>170</v>
      </c>
      <c r="G57" s="74">
        <f>+(450+400)/5</f>
        <v>170</v>
      </c>
      <c r="H57" s="71" t="s">
        <v>2357</v>
      </c>
      <c r="I57" s="137">
        <v>42641</v>
      </c>
    </row>
    <row r="58" spans="1:9">
      <c r="A58" s="4">
        <v>53</v>
      </c>
      <c r="B58" s="10" t="s">
        <v>156</v>
      </c>
      <c r="D58" s="73" t="s">
        <v>1269</v>
      </c>
      <c r="E58" s="74">
        <f t="shared" si="0"/>
        <v>0</v>
      </c>
      <c r="G58" s="74">
        <v>0</v>
      </c>
      <c r="I58" s="137"/>
    </row>
    <row r="59" spans="1:9">
      <c r="A59" s="4">
        <v>54</v>
      </c>
      <c r="B59" s="10" t="s">
        <v>157</v>
      </c>
      <c r="D59" s="73" t="s">
        <v>1269</v>
      </c>
      <c r="E59" s="74">
        <f t="shared" si="0"/>
        <v>0</v>
      </c>
      <c r="G59" s="74">
        <v>0</v>
      </c>
      <c r="I59" s="137"/>
    </row>
    <row r="60" spans="1:9" ht="15" customHeight="1">
      <c r="A60" s="4">
        <v>55</v>
      </c>
      <c r="B60" s="10" t="s">
        <v>158</v>
      </c>
      <c r="C60" s="76" t="s">
        <v>1266</v>
      </c>
      <c r="D60" s="73" t="s">
        <v>1269</v>
      </c>
      <c r="E60" s="74">
        <f t="shared" si="0"/>
        <v>140</v>
      </c>
      <c r="G60" s="74">
        <f>+(300+400)/5</f>
        <v>140</v>
      </c>
      <c r="H60" s="71" t="s">
        <v>2357</v>
      </c>
      <c r="I60" s="137"/>
    </row>
    <row r="61" spans="1:9">
      <c r="A61" s="4">
        <v>56</v>
      </c>
      <c r="B61" s="10" t="s">
        <v>159</v>
      </c>
      <c r="C61" s="76" t="s">
        <v>1267</v>
      </c>
      <c r="D61" s="73" t="s">
        <v>1269</v>
      </c>
      <c r="E61" s="74">
        <f t="shared" si="0"/>
        <v>210</v>
      </c>
      <c r="G61" s="74">
        <f>+(130+80)</f>
        <v>210</v>
      </c>
      <c r="H61" s="71" t="s">
        <v>2357</v>
      </c>
      <c r="I61" s="137"/>
    </row>
    <row r="62" spans="1:9">
      <c r="A62" s="4">
        <v>57</v>
      </c>
      <c r="B62" s="10" t="s">
        <v>160</v>
      </c>
      <c r="C62" s="76" t="s">
        <v>1950</v>
      </c>
      <c r="D62" s="73" t="s">
        <v>1268</v>
      </c>
      <c r="E62" s="74">
        <f t="shared" si="0"/>
        <v>0</v>
      </c>
      <c r="G62" s="74">
        <v>0</v>
      </c>
      <c r="I62" s="137"/>
    </row>
    <row r="63" spans="1:9">
      <c r="A63" s="4">
        <v>58</v>
      </c>
      <c r="B63" s="10" t="s">
        <v>161</v>
      </c>
      <c r="C63" s="76" t="s">
        <v>1690</v>
      </c>
      <c r="D63" s="73" t="s">
        <v>1269</v>
      </c>
      <c r="E63" s="74">
        <f t="shared" si="0"/>
        <v>500</v>
      </c>
      <c r="G63" s="183">
        <v>500</v>
      </c>
      <c r="H63" s="71" t="s">
        <v>1689</v>
      </c>
      <c r="I63" s="137">
        <v>42535</v>
      </c>
    </row>
    <row r="64" spans="1:9">
      <c r="A64" s="4">
        <v>59</v>
      </c>
      <c r="B64" s="10" t="s">
        <v>162</v>
      </c>
      <c r="C64" s="76" t="s">
        <v>1691</v>
      </c>
      <c r="D64" s="73" t="s">
        <v>1269</v>
      </c>
      <c r="E64" s="74">
        <f t="shared" si="0"/>
        <v>225</v>
      </c>
      <c r="G64" s="183">
        <v>225</v>
      </c>
      <c r="H64" s="71" t="s">
        <v>1689</v>
      </c>
      <c r="I64" s="137">
        <v>42535</v>
      </c>
    </row>
    <row r="65" spans="1:9">
      <c r="A65" s="4">
        <v>60</v>
      </c>
      <c r="B65" s="10" t="s">
        <v>163</v>
      </c>
      <c r="C65" s="76" t="s">
        <v>1703</v>
      </c>
      <c r="D65" s="73" t="s">
        <v>1269</v>
      </c>
      <c r="E65" s="74">
        <f t="shared" si="0"/>
        <v>150</v>
      </c>
      <c r="G65" s="183">
        <v>150</v>
      </c>
      <c r="H65" s="71" t="s">
        <v>1913</v>
      </c>
      <c r="I65" s="137"/>
    </row>
    <row r="66" spans="1:9">
      <c r="A66" s="4">
        <v>61</v>
      </c>
      <c r="B66" s="10" t="s">
        <v>164</v>
      </c>
      <c r="C66" s="76" t="s">
        <v>2100</v>
      </c>
      <c r="D66" s="73" t="s">
        <v>1269</v>
      </c>
      <c r="E66" s="74">
        <f t="shared" si="0"/>
        <v>150</v>
      </c>
      <c r="G66" s="74">
        <f>750/5</f>
        <v>150</v>
      </c>
      <c r="H66" s="71" t="s">
        <v>2064</v>
      </c>
      <c r="I66" s="137"/>
    </row>
    <row r="67" spans="1:9">
      <c r="A67" s="4">
        <v>62</v>
      </c>
      <c r="B67" s="10" t="s">
        <v>165</v>
      </c>
      <c r="C67" s="76" t="s">
        <v>2101</v>
      </c>
      <c r="D67" s="73" t="s">
        <v>1268</v>
      </c>
      <c r="E67" s="74">
        <f t="shared" si="0"/>
        <v>45</v>
      </c>
      <c r="G67" s="74">
        <f>450/10</f>
        <v>45</v>
      </c>
      <c r="I67" s="137"/>
    </row>
    <row r="68" spans="1:9">
      <c r="A68" s="4">
        <v>63</v>
      </c>
      <c r="B68" s="10" t="s">
        <v>166</v>
      </c>
      <c r="C68" s="76" t="s">
        <v>2102</v>
      </c>
      <c r="D68" s="73" t="s">
        <v>82</v>
      </c>
      <c r="E68" s="74">
        <f t="shared" si="0"/>
        <v>200</v>
      </c>
      <c r="G68" s="74">
        <v>200</v>
      </c>
      <c r="I68" s="137"/>
    </row>
    <row r="69" spans="1:9">
      <c r="A69" s="4">
        <v>64</v>
      </c>
      <c r="B69" s="10" t="s">
        <v>167</v>
      </c>
      <c r="C69" s="76"/>
      <c r="E69" s="74">
        <f t="shared" si="0"/>
        <v>0</v>
      </c>
      <c r="G69" s="74">
        <v>0</v>
      </c>
      <c r="I69" s="137"/>
    </row>
    <row r="70" spans="1:9" ht="15" customHeight="1">
      <c r="A70" s="4">
        <v>65</v>
      </c>
      <c r="B70" s="10" t="s">
        <v>168</v>
      </c>
      <c r="C70" s="76" t="s">
        <v>2458</v>
      </c>
      <c r="D70" s="73" t="s">
        <v>94</v>
      </c>
      <c r="E70" s="74">
        <f t="shared" si="0"/>
        <v>1200</v>
      </c>
      <c r="G70" s="74">
        <f>1500/1.25</f>
        <v>1200</v>
      </c>
      <c r="I70" s="137"/>
    </row>
    <row r="71" spans="1:9">
      <c r="A71" s="4">
        <v>66</v>
      </c>
      <c r="B71" s="10" t="s">
        <v>169</v>
      </c>
      <c r="E71" s="74">
        <f t="shared" si="0"/>
        <v>0</v>
      </c>
      <c r="G71" s="74">
        <v>0</v>
      </c>
      <c r="I71" s="137"/>
    </row>
    <row r="72" spans="1:9">
      <c r="A72" s="4">
        <v>67</v>
      </c>
      <c r="B72" s="10" t="s">
        <v>170</v>
      </c>
      <c r="E72" s="74">
        <f t="shared" ref="E72:E135" si="1">+G72*$E$2*$E$3*$E$4</f>
        <v>0</v>
      </c>
      <c r="G72" s="74">
        <v>0</v>
      </c>
      <c r="I72" s="137"/>
    </row>
    <row r="73" spans="1:9">
      <c r="A73" s="4">
        <v>68</v>
      </c>
      <c r="B73" s="10" t="s">
        <v>171</v>
      </c>
      <c r="E73" s="74">
        <f t="shared" si="1"/>
        <v>0</v>
      </c>
      <c r="G73" s="74">
        <v>0</v>
      </c>
      <c r="I73" s="137"/>
    </row>
    <row r="74" spans="1:9">
      <c r="A74" s="4">
        <v>69</v>
      </c>
      <c r="B74" s="10" t="s">
        <v>172</v>
      </c>
      <c r="E74" s="74">
        <f t="shared" si="1"/>
        <v>0</v>
      </c>
      <c r="G74" s="74">
        <v>0</v>
      </c>
      <c r="I74" s="137"/>
    </row>
    <row r="75" spans="1:9">
      <c r="A75" s="4">
        <v>70</v>
      </c>
      <c r="B75" s="10" t="s">
        <v>173</v>
      </c>
      <c r="E75" s="74">
        <f t="shared" si="1"/>
        <v>0</v>
      </c>
      <c r="G75" s="74">
        <v>0</v>
      </c>
      <c r="I75" s="137"/>
    </row>
    <row r="76" spans="1:9">
      <c r="A76" s="4">
        <v>71</v>
      </c>
      <c r="B76" s="10" t="s">
        <v>174</v>
      </c>
      <c r="E76" s="74">
        <f t="shared" si="1"/>
        <v>0</v>
      </c>
      <c r="G76" s="74">
        <v>0</v>
      </c>
      <c r="I76" s="137"/>
    </row>
    <row r="77" spans="1:9">
      <c r="A77" s="4">
        <v>72</v>
      </c>
      <c r="B77" s="10" t="s">
        <v>175</v>
      </c>
      <c r="E77" s="74">
        <f t="shared" si="1"/>
        <v>0</v>
      </c>
      <c r="G77" s="74">
        <v>0</v>
      </c>
      <c r="I77" s="137"/>
    </row>
    <row r="78" spans="1:9">
      <c r="A78" s="4">
        <v>73</v>
      </c>
      <c r="B78" s="10" t="s">
        <v>176</v>
      </c>
      <c r="E78" s="74">
        <f t="shared" si="1"/>
        <v>0</v>
      </c>
      <c r="G78" s="74">
        <v>0</v>
      </c>
      <c r="I78" s="137"/>
    </row>
    <row r="79" spans="1:9">
      <c r="A79" s="4">
        <v>74</v>
      </c>
      <c r="B79" s="10" t="s">
        <v>177</v>
      </c>
      <c r="E79" s="74">
        <f t="shared" si="1"/>
        <v>0</v>
      </c>
      <c r="G79" s="74">
        <v>0</v>
      </c>
      <c r="I79" s="137"/>
    </row>
    <row r="80" spans="1:9" ht="15" customHeight="1">
      <c r="A80" s="4">
        <v>75</v>
      </c>
      <c r="B80" s="10" t="s">
        <v>178</v>
      </c>
      <c r="C80" s="76"/>
      <c r="E80" s="74">
        <f t="shared" si="1"/>
        <v>0</v>
      </c>
      <c r="G80" s="74">
        <v>0</v>
      </c>
      <c r="I80" s="137"/>
    </row>
    <row r="81" spans="1:9">
      <c r="A81" s="4">
        <v>76</v>
      </c>
      <c r="B81" s="10" t="s">
        <v>179</v>
      </c>
      <c r="E81" s="74">
        <f t="shared" si="1"/>
        <v>0</v>
      </c>
      <c r="G81" s="74">
        <v>0</v>
      </c>
      <c r="I81" s="137"/>
    </row>
    <row r="82" spans="1:9">
      <c r="A82" s="4">
        <v>77</v>
      </c>
      <c r="B82" s="10" t="s">
        <v>180</v>
      </c>
      <c r="C82" s="77"/>
      <c r="E82" s="74">
        <f t="shared" si="1"/>
        <v>0</v>
      </c>
      <c r="G82" s="74">
        <v>0</v>
      </c>
      <c r="I82" s="137"/>
    </row>
    <row r="83" spans="1:9" ht="15" customHeight="1">
      <c r="A83" s="4">
        <v>78</v>
      </c>
      <c r="B83" s="10" t="s">
        <v>181</v>
      </c>
      <c r="C83" s="77"/>
      <c r="E83" s="74">
        <f t="shared" si="1"/>
        <v>0</v>
      </c>
      <c r="G83" s="74">
        <v>0</v>
      </c>
      <c r="I83" s="137"/>
    </row>
    <row r="84" spans="1:9">
      <c r="A84" s="4">
        <v>79</v>
      </c>
      <c r="B84" s="10" t="s">
        <v>182</v>
      </c>
      <c r="C84" s="77"/>
      <c r="E84" s="74">
        <f t="shared" si="1"/>
        <v>0</v>
      </c>
      <c r="G84" s="74">
        <v>0</v>
      </c>
      <c r="I84" s="137"/>
    </row>
    <row r="85" spans="1:9">
      <c r="A85" s="4">
        <v>80</v>
      </c>
      <c r="B85" s="10" t="s">
        <v>183</v>
      </c>
      <c r="C85" s="77"/>
      <c r="E85" s="74">
        <f t="shared" si="1"/>
        <v>0</v>
      </c>
      <c r="G85" s="74">
        <v>0</v>
      </c>
      <c r="I85" s="137"/>
    </row>
    <row r="86" spans="1:9">
      <c r="A86" s="4">
        <v>81</v>
      </c>
      <c r="B86" s="10" t="s">
        <v>184</v>
      </c>
      <c r="C86" s="77"/>
      <c r="E86" s="74">
        <f t="shared" si="1"/>
        <v>0</v>
      </c>
      <c r="G86" s="74">
        <v>0</v>
      </c>
      <c r="I86" s="137"/>
    </row>
    <row r="87" spans="1:9">
      <c r="A87" s="4">
        <v>82</v>
      </c>
      <c r="B87" s="10" t="s">
        <v>185</v>
      </c>
      <c r="C87" s="77"/>
      <c r="E87" s="74">
        <f t="shared" si="1"/>
        <v>0</v>
      </c>
      <c r="G87" s="74">
        <v>0</v>
      </c>
      <c r="I87" s="137"/>
    </row>
    <row r="88" spans="1:9">
      <c r="A88" s="4">
        <v>83</v>
      </c>
      <c r="B88" s="10" t="s">
        <v>186</v>
      </c>
      <c r="E88" s="74">
        <f t="shared" si="1"/>
        <v>0</v>
      </c>
      <c r="G88" s="74">
        <v>0</v>
      </c>
      <c r="I88" s="137"/>
    </row>
    <row r="89" spans="1:9">
      <c r="A89" s="4">
        <v>84</v>
      </c>
      <c r="B89" s="10" t="s">
        <v>187</v>
      </c>
      <c r="E89" s="74">
        <f t="shared" si="1"/>
        <v>0</v>
      </c>
      <c r="G89" s="74">
        <v>0</v>
      </c>
      <c r="I89" s="137"/>
    </row>
    <row r="90" spans="1:9">
      <c r="A90" s="4">
        <v>85</v>
      </c>
      <c r="B90" s="10" t="s">
        <v>188</v>
      </c>
      <c r="E90" s="74">
        <f t="shared" si="1"/>
        <v>0</v>
      </c>
      <c r="G90" s="74">
        <v>0</v>
      </c>
      <c r="I90" s="137"/>
    </row>
    <row r="91" spans="1:9">
      <c r="A91" s="4">
        <v>86</v>
      </c>
      <c r="B91" s="10" t="s">
        <v>189</v>
      </c>
      <c r="E91" s="74">
        <f t="shared" si="1"/>
        <v>0</v>
      </c>
      <c r="G91" s="74">
        <v>0</v>
      </c>
      <c r="I91" s="137"/>
    </row>
    <row r="92" spans="1:9">
      <c r="A92" s="4">
        <v>87</v>
      </c>
      <c r="B92" s="10" t="s">
        <v>190</v>
      </c>
      <c r="E92" s="74">
        <f t="shared" si="1"/>
        <v>0</v>
      </c>
      <c r="G92" s="74">
        <v>0</v>
      </c>
      <c r="I92" s="137"/>
    </row>
    <row r="93" spans="1:9">
      <c r="A93" s="4">
        <v>88</v>
      </c>
      <c r="B93" s="10" t="s">
        <v>191</v>
      </c>
      <c r="E93" s="74">
        <f t="shared" si="1"/>
        <v>0</v>
      </c>
      <c r="G93" s="74">
        <v>0</v>
      </c>
      <c r="I93" s="137"/>
    </row>
    <row r="94" spans="1:9">
      <c r="A94" s="4">
        <v>89</v>
      </c>
      <c r="B94" s="10" t="s">
        <v>192</v>
      </c>
      <c r="E94" s="74">
        <f t="shared" si="1"/>
        <v>0</v>
      </c>
      <c r="G94" s="74">
        <v>0</v>
      </c>
      <c r="I94" s="137"/>
    </row>
    <row r="95" spans="1:9">
      <c r="A95" s="4">
        <v>90</v>
      </c>
      <c r="B95" s="10" t="s">
        <v>193</v>
      </c>
      <c r="C95" s="71" t="s">
        <v>2088</v>
      </c>
      <c r="D95" s="73" t="s">
        <v>2</v>
      </c>
      <c r="E95" s="74">
        <f t="shared" si="1"/>
        <v>0</v>
      </c>
      <c r="G95" s="74">
        <v>0</v>
      </c>
      <c r="I95" s="137"/>
    </row>
    <row r="96" spans="1:9">
      <c r="A96" s="4">
        <v>91</v>
      </c>
      <c r="B96" s="10" t="s">
        <v>194</v>
      </c>
      <c r="C96" s="71" t="s">
        <v>2089</v>
      </c>
      <c r="D96" s="73" t="s">
        <v>82</v>
      </c>
      <c r="E96" s="74">
        <f t="shared" si="1"/>
        <v>2.5</v>
      </c>
      <c r="G96" s="74">
        <v>2.5</v>
      </c>
      <c r="I96" s="137"/>
    </row>
    <row r="97" spans="1:15">
      <c r="A97" s="4">
        <v>92</v>
      </c>
      <c r="B97" s="10" t="s">
        <v>195</v>
      </c>
      <c r="E97" s="74">
        <f t="shared" si="1"/>
        <v>0</v>
      </c>
      <c r="G97" s="74">
        <v>0</v>
      </c>
      <c r="I97" s="137"/>
    </row>
    <row r="98" spans="1:15">
      <c r="A98" s="4">
        <v>93</v>
      </c>
      <c r="B98" s="10" t="s">
        <v>196</v>
      </c>
      <c r="C98" s="71" t="s">
        <v>2153</v>
      </c>
      <c r="D98" s="73" t="s">
        <v>1722</v>
      </c>
      <c r="E98" s="74">
        <f t="shared" si="1"/>
        <v>1160</v>
      </c>
      <c r="G98" s="74">
        <v>1160</v>
      </c>
      <c r="I98" s="137"/>
    </row>
    <row r="99" spans="1:15">
      <c r="A99" s="4">
        <v>94</v>
      </c>
      <c r="B99" s="10" t="s">
        <v>197</v>
      </c>
      <c r="C99" s="71" t="s">
        <v>2154</v>
      </c>
      <c r="D99" s="73" t="s">
        <v>1722</v>
      </c>
      <c r="E99" s="74">
        <f t="shared" si="1"/>
        <v>1870</v>
      </c>
      <c r="G99" s="74">
        <v>1870</v>
      </c>
      <c r="I99" s="137"/>
    </row>
    <row r="100" spans="1:15" ht="15" customHeight="1">
      <c r="A100" s="4">
        <v>95</v>
      </c>
      <c r="B100" s="10" t="s">
        <v>198</v>
      </c>
      <c r="C100" s="76" t="s">
        <v>2155</v>
      </c>
      <c r="D100" s="73" t="s">
        <v>1722</v>
      </c>
      <c r="E100" s="74">
        <f t="shared" si="1"/>
        <v>34</v>
      </c>
      <c r="G100" s="74">
        <v>34</v>
      </c>
      <c r="I100" s="137"/>
    </row>
    <row r="101" spans="1:15">
      <c r="A101" s="4">
        <v>96</v>
      </c>
      <c r="B101" s="10" t="s">
        <v>199</v>
      </c>
      <c r="C101" s="71" t="s">
        <v>2156</v>
      </c>
      <c r="D101" s="73" t="s">
        <v>1722</v>
      </c>
      <c r="E101" s="74">
        <f t="shared" si="1"/>
        <v>85</v>
      </c>
      <c r="G101" s="74">
        <v>85</v>
      </c>
      <c r="I101" s="137"/>
    </row>
    <row r="102" spans="1:15">
      <c r="A102" s="4">
        <v>97</v>
      </c>
      <c r="B102" s="10" t="s">
        <v>200</v>
      </c>
      <c r="C102" s="71" t="s">
        <v>2157</v>
      </c>
      <c r="D102" s="73" t="s">
        <v>1722</v>
      </c>
      <c r="E102" s="74">
        <f t="shared" si="1"/>
        <v>540</v>
      </c>
      <c r="G102" s="74">
        <v>540</v>
      </c>
      <c r="I102" s="137"/>
    </row>
    <row r="103" spans="1:15">
      <c r="A103" s="4">
        <v>98</v>
      </c>
      <c r="B103" s="10" t="s">
        <v>201</v>
      </c>
      <c r="C103" s="71" t="s">
        <v>2158</v>
      </c>
      <c r="D103" s="73" t="s">
        <v>1722</v>
      </c>
      <c r="E103" s="74">
        <f t="shared" si="1"/>
        <v>990</v>
      </c>
      <c r="G103" s="74">
        <v>990</v>
      </c>
      <c r="I103" s="137"/>
    </row>
    <row r="104" spans="1:15">
      <c r="A104" s="4">
        <v>99</v>
      </c>
      <c r="B104" s="10" t="s">
        <v>202</v>
      </c>
      <c r="C104" s="71" t="s">
        <v>2166</v>
      </c>
      <c r="D104" s="73" t="s">
        <v>1268</v>
      </c>
      <c r="E104" s="74">
        <f t="shared" si="1"/>
        <v>25.5</v>
      </c>
      <c r="G104" s="74">
        <v>25.5</v>
      </c>
      <c r="I104" s="137"/>
    </row>
    <row r="105" spans="1:15">
      <c r="A105" s="95">
        <v>100</v>
      </c>
      <c r="B105" s="10" t="s">
        <v>203</v>
      </c>
      <c r="C105" s="71" t="s">
        <v>2165</v>
      </c>
      <c r="D105" s="73" t="s">
        <v>1268</v>
      </c>
      <c r="E105" s="74">
        <f t="shared" si="1"/>
        <v>62.5</v>
      </c>
      <c r="G105" s="74">
        <v>62.5</v>
      </c>
      <c r="I105" s="137"/>
    </row>
    <row r="106" spans="1:15">
      <c r="A106" s="4">
        <v>101</v>
      </c>
      <c r="B106" s="10" t="s">
        <v>204</v>
      </c>
      <c r="C106" s="71" t="s">
        <v>66</v>
      </c>
      <c r="D106" s="73" t="s">
        <v>67</v>
      </c>
      <c r="E106" s="74">
        <f t="shared" si="1"/>
        <v>15.588335288624991</v>
      </c>
      <c r="G106" s="74">
        <f>+N115*1.1</f>
        <v>15.588335288624991</v>
      </c>
      <c r="H106" s="71" t="s">
        <v>1534</v>
      </c>
      <c r="I106" s="137"/>
      <c r="K106" s="71">
        <v>4.2</v>
      </c>
      <c r="L106" s="90">
        <v>1.3</v>
      </c>
      <c r="M106" s="74">
        <v>19.02</v>
      </c>
      <c r="O106" s="137"/>
    </row>
    <row r="107" spans="1:15">
      <c r="A107" s="4">
        <v>102</v>
      </c>
      <c r="B107" s="10" t="s">
        <v>205</v>
      </c>
      <c r="C107" s="71" t="s">
        <v>1278</v>
      </c>
      <c r="D107" s="73" t="s">
        <v>67</v>
      </c>
      <c r="E107" s="74">
        <f t="shared" si="1"/>
        <v>0</v>
      </c>
      <c r="G107" s="74">
        <v>0</v>
      </c>
      <c r="I107" s="137"/>
      <c r="K107" s="71">
        <v>6</v>
      </c>
      <c r="L107" s="90">
        <v>2.64</v>
      </c>
      <c r="M107" s="74">
        <v>39.01</v>
      </c>
    </row>
    <row r="108" spans="1:15">
      <c r="A108" s="4">
        <v>103</v>
      </c>
      <c r="B108" s="10" t="s">
        <v>206</v>
      </c>
      <c r="C108" s="71" t="s">
        <v>1280</v>
      </c>
      <c r="D108" s="73" t="s">
        <v>67</v>
      </c>
      <c r="E108" s="74">
        <f t="shared" si="1"/>
        <v>0</v>
      </c>
      <c r="G108" s="74">
        <v>0</v>
      </c>
      <c r="I108" s="137"/>
      <c r="K108" s="71">
        <v>8</v>
      </c>
      <c r="L108" s="90">
        <v>4.7</v>
      </c>
      <c r="M108" s="74">
        <v>67.52</v>
      </c>
    </row>
    <row r="109" spans="1:15">
      <c r="A109" s="4">
        <v>104</v>
      </c>
      <c r="B109" s="10" t="s">
        <v>207</v>
      </c>
      <c r="C109" s="71" t="s">
        <v>1279</v>
      </c>
      <c r="D109" s="73" t="s">
        <v>67</v>
      </c>
      <c r="E109" s="74">
        <f t="shared" si="1"/>
        <v>22</v>
      </c>
      <c r="G109" s="74">
        <v>22</v>
      </c>
      <c r="I109" s="137"/>
      <c r="K109" s="71">
        <v>10</v>
      </c>
      <c r="L109" s="90">
        <v>7.4</v>
      </c>
      <c r="M109" s="74">
        <v>106.31</v>
      </c>
    </row>
    <row r="110" spans="1:15" ht="15" customHeight="1">
      <c r="A110" s="4">
        <v>105</v>
      </c>
      <c r="B110" s="10" t="s">
        <v>208</v>
      </c>
      <c r="C110" s="76" t="s">
        <v>1535</v>
      </c>
      <c r="D110" s="73" t="s">
        <v>67</v>
      </c>
      <c r="E110" s="74">
        <f t="shared" si="1"/>
        <v>24.334</v>
      </c>
      <c r="G110" s="74">
        <f>21.16*1.15</f>
        <v>24.334</v>
      </c>
      <c r="I110" s="137"/>
      <c r="K110" s="71">
        <v>12</v>
      </c>
      <c r="L110" s="90">
        <v>10.7</v>
      </c>
      <c r="M110" s="74">
        <v>153.97999999999999</v>
      </c>
    </row>
    <row r="111" spans="1:15">
      <c r="A111" s="4">
        <v>106</v>
      </c>
      <c r="B111" s="10" t="s">
        <v>209</v>
      </c>
      <c r="C111" s="76" t="s">
        <v>1536</v>
      </c>
      <c r="D111" s="73" t="s">
        <v>67</v>
      </c>
      <c r="E111" s="74">
        <f t="shared" si="1"/>
        <v>14.45</v>
      </c>
      <c r="G111" s="74">
        <v>14.45</v>
      </c>
      <c r="I111" s="137"/>
      <c r="K111" s="71">
        <v>16</v>
      </c>
      <c r="L111" s="90">
        <v>19</v>
      </c>
      <c r="M111" s="74">
        <v>270.60000000000002</v>
      </c>
    </row>
    <row r="112" spans="1:15">
      <c r="A112" s="4">
        <v>107</v>
      </c>
      <c r="B112" s="10" t="s">
        <v>210</v>
      </c>
      <c r="C112" s="76" t="s">
        <v>1537</v>
      </c>
      <c r="D112" s="73" t="s">
        <v>67</v>
      </c>
      <c r="E112" s="74">
        <f t="shared" si="1"/>
        <v>20.83</v>
      </c>
      <c r="G112" s="74">
        <v>20.83</v>
      </c>
      <c r="I112" s="137"/>
      <c r="K112" s="71">
        <v>20</v>
      </c>
      <c r="L112" s="90">
        <v>30.2</v>
      </c>
      <c r="M112" s="74">
        <v>428.69</v>
      </c>
    </row>
    <row r="113" spans="1:14">
      <c r="A113" s="4">
        <v>108</v>
      </c>
      <c r="B113" s="10" t="s">
        <v>211</v>
      </c>
      <c r="C113" s="76" t="s">
        <v>1538</v>
      </c>
      <c r="D113" s="73" t="s">
        <v>67</v>
      </c>
      <c r="E113" s="74">
        <f t="shared" si="1"/>
        <v>19.89</v>
      </c>
      <c r="G113" s="74">
        <v>19.89</v>
      </c>
      <c r="I113" s="137"/>
      <c r="K113" s="71">
        <v>25</v>
      </c>
      <c r="L113" s="90">
        <v>0</v>
      </c>
      <c r="M113" s="74">
        <v>0</v>
      </c>
    </row>
    <row r="114" spans="1:14">
      <c r="A114" s="4">
        <v>109</v>
      </c>
      <c r="B114" s="10" t="s">
        <v>212</v>
      </c>
      <c r="C114" s="76" t="s">
        <v>1697</v>
      </c>
      <c r="D114" s="73" t="s">
        <v>67</v>
      </c>
      <c r="E114" s="74">
        <f t="shared" si="1"/>
        <v>0</v>
      </c>
      <c r="G114" s="74">
        <v>0</v>
      </c>
      <c r="I114" s="137"/>
    </row>
    <row r="115" spans="1:14">
      <c r="A115" s="4">
        <v>110</v>
      </c>
      <c r="B115" s="10" t="s">
        <v>213</v>
      </c>
      <c r="C115" s="76" t="s">
        <v>1705</v>
      </c>
      <c r="D115" s="73" t="s">
        <v>2</v>
      </c>
      <c r="E115" s="74">
        <f t="shared" si="1"/>
        <v>0</v>
      </c>
      <c r="G115" s="74">
        <v>0</v>
      </c>
      <c r="I115" s="137"/>
      <c r="L115" s="136">
        <f>SUM(L106:L114)</f>
        <v>75.94</v>
      </c>
      <c r="M115" s="88">
        <f>SUM(M106:M114)/1.21</f>
        <v>896.80165289256206</v>
      </c>
      <c r="N115" s="274">
        <f>+(M115/L115)*1.2</f>
        <v>14.171213898749992</v>
      </c>
    </row>
    <row r="116" spans="1:14">
      <c r="A116" s="4">
        <v>111</v>
      </c>
      <c r="B116" s="10" t="s">
        <v>214</v>
      </c>
      <c r="C116" s="76" t="s">
        <v>1709</v>
      </c>
      <c r="D116" s="73" t="s">
        <v>67</v>
      </c>
      <c r="E116" s="74">
        <f t="shared" si="1"/>
        <v>36</v>
      </c>
      <c r="G116" s="74">
        <v>36</v>
      </c>
      <c r="I116" s="137"/>
      <c r="N116" s="136"/>
    </row>
    <row r="117" spans="1:14">
      <c r="A117" s="4">
        <v>112</v>
      </c>
      <c r="B117" s="10" t="s">
        <v>215</v>
      </c>
      <c r="C117" s="76" t="s">
        <v>1951</v>
      </c>
      <c r="D117" s="73" t="s">
        <v>2</v>
      </c>
      <c r="E117" s="74">
        <f t="shared" si="1"/>
        <v>0</v>
      </c>
      <c r="G117" s="74">
        <v>0</v>
      </c>
      <c r="I117" s="137"/>
      <c r="K117" s="71" t="s">
        <v>1539</v>
      </c>
    </row>
    <row r="118" spans="1:14">
      <c r="A118" s="4">
        <v>113</v>
      </c>
      <c r="B118" s="10" t="s">
        <v>216</v>
      </c>
      <c r="C118" s="76" t="s">
        <v>1907</v>
      </c>
      <c r="D118" s="73" t="s">
        <v>2</v>
      </c>
      <c r="E118" s="74">
        <f t="shared" si="1"/>
        <v>0</v>
      </c>
      <c r="G118" s="74">
        <v>0</v>
      </c>
      <c r="I118" s="137"/>
      <c r="K118" s="71" t="s">
        <v>1540</v>
      </c>
    </row>
    <row r="119" spans="1:14">
      <c r="A119" s="4">
        <v>114</v>
      </c>
      <c r="B119" s="10" t="s">
        <v>217</v>
      </c>
      <c r="C119" s="76" t="s">
        <v>1952</v>
      </c>
      <c r="D119" s="73" t="s">
        <v>2</v>
      </c>
      <c r="E119" s="74">
        <f t="shared" si="1"/>
        <v>0</v>
      </c>
      <c r="G119" s="74">
        <v>0</v>
      </c>
      <c r="I119" s="137"/>
      <c r="K119" s="71" t="s">
        <v>1541</v>
      </c>
    </row>
    <row r="120" spans="1:14">
      <c r="A120" s="4">
        <v>115</v>
      </c>
      <c r="B120" s="10" t="s">
        <v>218</v>
      </c>
      <c r="C120" s="76" t="s">
        <v>1908</v>
      </c>
      <c r="D120" s="73" t="s">
        <v>82</v>
      </c>
      <c r="E120" s="74">
        <f t="shared" si="1"/>
        <v>0</v>
      </c>
      <c r="G120" s="74">
        <v>0</v>
      </c>
      <c r="I120" s="137"/>
      <c r="K120" s="71" t="s">
        <v>1542</v>
      </c>
    </row>
    <row r="121" spans="1:14">
      <c r="A121" s="4">
        <v>116</v>
      </c>
      <c r="B121" s="10" t="s">
        <v>219</v>
      </c>
      <c r="C121" s="76" t="s">
        <v>1909</v>
      </c>
      <c r="D121" s="73" t="s">
        <v>67</v>
      </c>
      <c r="E121" s="74">
        <f t="shared" si="1"/>
        <v>0</v>
      </c>
      <c r="G121" s="74">
        <v>0</v>
      </c>
      <c r="I121" s="137"/>
      <c r="N121" s="138"/>
    </row>
    <row r="122" spans="1:14">
      <c r="A122" s="4">
        <v>117</v>
      </c>
      <c r="B122" s="10" t="s">
        <v>220</v>
      </c>
      <c r="C122" s="76"/>
      <c r="E122" s="74">
        <f t="shared" si="1"/>
        <v>0</v>
      </c>
      <c r="G122" s="74">
        <v>0</v>
      </c>
      <c r="I122" s="137"/>
      <c r="N122" s="139"/>
    </row>
    <row r="123" spans="1:14">
      <c r="A123" s="4">
        <v>118</v>
      </c>
      <c r="B123" s="10" t="s">
        <v>221</v>
      </c>
      <c r="C123" s="76" t="s">
        <v>2096</v>
      </c>
      <c r="D123" s="73" t="s">
        <v>1679</v>
      </c>
      <c r="E123" s="74">
        <f t="shared" si="1"/>
        <v>58.801652892561982</v>
      </c>
      <c r="G123" s="74">
        <f>1423/1.21/20</f>
        <v>58.801652892561982</v>
      </c>
      <c r="H123" s="71" t="s">
        <v>2094</v>
      </c>
      <c r="I123" s="137">
        <v>42538</v>
      </c>
    </row>
    <row r="124" spans="1:14">
      <c r="A124" s="4">
        <v>119</v>
      </c>
      <c r="B124" s="10" t="s">
        <v>222</v>
      </c>
      <c r="C124" s="76" t="s">
        <v>1982</v>
      </c>
      <c r="D124" s="73" t="s">
        <v>1679</v>
      </c>
      <c r="E124" s="74">
        <f t="shared" si="1"/>
        <v>0</v>
      </c>
      <c r="G124" s="74">
        <v>0</v>
      </c>
      <c r="I124" s="137">
        <v>42538</v>
      </c>
      <c r="K124" s="71" t="s">
        <v>2067</v>
      </c>
      <c r="L124" s="71">
        <v>26.8</v>
      </c>
      <c r="M124" s="74">
        <v>409.71</v>
      </c>
    </row>
    <row r="125" spans="1:14">
      <c r="A125" s="4">
        <v>120</v>
      </c>
      <c r="B125" s="10" t="s">
        <v>223</v>
      </c>
      <c r="C125" s="76" t="s">
        <v>2097</v>
      </c>
      <c r="D125" s="73" t="s">
        <v>1679</v>
      </c>
      <c r="E125" s="74">
        <f t="shared" si="1"/>
        <v>31.473966942148756</v>
      </c>
      <c r="G125" s="74">
        <f>761.67/1.21/20</f>
        <v>31.473966942148756</v>
      </c>
      <c r="I125" s="137">
        <v>42538</v>
      </c>
      <c r="K125" s="71" t="s">
        <v>1905</v>
      </c>
      <c r="L125" s="71">
        <v>38.5</v>
      </c>
      <c r="M125" s="74">
        <v>615.29</v>
      </c>
    </row>
    <row r="126" spans="1:14">
      <c r="A126" s="4">
        <v>121</v>
      </c>
      <c r="B126" s="10" t="s">
        <v>224</v>
      </c>
      <c r="C126" s="76" t="s">
        <v>2098</v>
      </c>
      <c r="D126" s="73" t="s">
        <v>1679</v>
      </c>
      <c r="E126" s="74">
        <f t="shared" si="1"/>
        <v>99.173553719008268</v>
      </c>
      <c r="G126" s="74">
        <f>2400/1.21/20</f>
        <v>99.173553719008268</v>
      </c>
      <c r="I126" s="137">
        <v>42538</v>
      </c>
      <c r="K126" s="71" t="s">
        <v>2068</v>
      </c>
      <c r="L126" s="71">
        <v>23</v>
      </c>
      <c r="M126" s="74">
        <v>351.62</v>
      </c>
    </row>
    <row r="127" spans="1:14">
      <c r="A127" s="4">
        <v>122</v>
      </c>
      <c r="B127" s="10" t="s">
        <v>225</v>
      </c>
      <c r="C127" s="76" t="s">
        <v>2099</v>
      </c>
      <c r="D127" s="73" t="s">
        <v>1679</v>
      </c>
      <c r="E127" s="74">
        <f t="shared" si="1"/>
        <v>91.818181818181827</v>
      </c>
      <c r="G127" s="74">
        <f>2222/1.21/20</f>
        <v>91.818181818181827</v>
      </c>
      <c r="I127" s="137">
        <v>42538</v>
      </c>
      <c r="K127" s="71" t="s">
        <v>2069</v>
      </c>
      <c r="L127" s="71">
        <v>15.06</v>
      </c>
      <c r="M127" s="74">
        <v>230.23</v>
      </c>
    </row>
    <row r="128" spans="1:14">
      <c r="A128" s="4">
        <v>123</v>
      </c>
      <c r="B128" s="10" t="s">
        <v>226</v>
      </c>
      <c r="C128" s="76" t="s">
        <v>1983</v>
      </c>
      <c r="D128" s="73" t="s">
        <v>82</v>
      </c>
      <c r="E128" s="74">
        <f t="shared" si="1"/>
        <v>63.63636363636364</v>
      </c>
      <c r="G128" s="74">
        <f>77/1.21</f>
        <v>63.63636363636364</v>
      </c>
      <c r="I128" s="137">
        <v>42538</v>
      </c>
    </row>
    <row r="129" spans="1:14">
      <c r="A129" s="4">
        <v>124</v>
      </c>
      <c r="B129" s="10" t="s">
        <v>227</v>
      </c>
      <c r="C129" s="76" t="s">
        <v>1984</v>
      </c>
      <c r="D129" s="73" t="s">
        <v>82</v>
      </c>
      <c r="E129" s="74">
        <f t="shared" si="1"/>
        <v>63.63636363636364</v>
      </c>
      <c r="G129" s="74">
        <f>77/1.21</f>
        <v>63.63636363636364</v>
      </c>
      <c r="I129" s="137">
        <v>42538</v>
      </c>
      <c r="L129" s="71">
        <f>SUM(L124:L128)</f>
        <v>103.36</v>
      </c>
      <c r="M129" s="88">
        <f>SUM(M124:M128)</f>
        <v>1606.85</v>
      </c>
      <c r="N129" s="274">
        <f>+(M129/L129)*1.2</f>
        <v>18.655379256965944</v>
      </c>
    </row>
    <row r="130" spans="1:14" ht="15" customHeight="1">
      <c r="A130" s="4">
        <v>125</v>
      </c>
      <c r="B130" s="10" t="s">
        <v>228</v>
      </c>
      <c r="C130" s="76" t="s">
        <v>1985</v>
      </c>
      <c r="D130" s="73" t="s">
        <v>67</v>
      </c>
      <c r="E130" s="74">
        <f t="shared" si="1"/>
        <v>13.553719008264464</v>
      </c>
      <c r="G130" s="74">
        <f>492/1.21/30</f>
        <v>13.553719008264464</v>
      </c>
      <c r="I130" s="137">
        <v>42538</v>
      </c>
    </row>
    <row r="131" spans="1:14">
      <c r="A131" s="4">
        <v>126</v>
      </c>
      <c r="B131" s="10" t="s">
        <v>229</v>
      </c>
      <c r="C131" s="76" t="s">
        <v>1987</v>
      </c>
      <c r="D131" s="73" t="s">
        <v>1679</v>
      </c>
      <c r="E131" s="74">
        <f t="shared" si="1"/>
        <v>34.545454545454547</v>
      </c>
      <c r="G131" s="74">
        <f>836/1.21/20</f>
        <v>34.545454545454547</v>
      </c>
      <c r="I131" s="137">
        <v>42538</v>
      </c>
    </row>
    <row r="132" spans="1:14">
      <c r="A132" s="4">
        <v>127</v>
      </c>
      <c r="B132" s="10" t="s">
        <v>230</v>
      </c>
      <c r="C132" s="76" t="s">
        <v>1986</v>
      </c>
      <c r="D132" s="73" t="s">
        <v>82</v>
      </c>
      <c r="E132" s="74">
        <f t="shared" si="1"/>
        <v>7.8512396694214877</v>
      </c>
      <c r="G132" s="74">
        <f>9.5/1.21</f>
        <v>7.8512396694214877</v>
      </c>
      <c r="I132" s="137">
        <v>42538</v>
      </c>
    </row>
    <row r="133" spans="1:14">
      <c r="A133" s="4">
        <v>128</v>
      </c>
      <c r="B133" s="10" t="s">
        <v>231</v>
      </c>
      <c r="C133" s="76" t="s">
        <v>1988</v>
      </c>
      <c r="D133" s="73" t="s">
        <v>1679</v>
      </c>
      <c r="E133" s="74">
        <f t="shared" si="1"/>
        <v>0</v>
      </c>
      <c r="G133" s="74">
        <v>0</v>
      </c>
      <c r="I133" s="137"/>
    </row>
    <row r="134" spans="1:14">
      <c r="A134" s="4">
        <v>129</v>
      </c>
      <c r="B134" s="10" t="s">
        <v>232</v>
      </c>
      <c r="C134" s="76" t="s">
        <v>2079</v>
      </c>
      <c r="D134" s="73" t="s">
        <v>1268</v>
      </c>
      <c r="E134" s="74">
        <f t="shared" si="1"/>
        <v>1984</v>
      </c>
      <c r="G134" s="74">
        <f>36*51.5+130</f>
        <v>1984</v>
      </c>
      <c r="I134" s="137"/>
    </row>
    <row r="135" spans="1:14">
      <c r="A135" s="4">
        <v>130</v>
      </c>
      <c r="B135" s="10" t="s">
        <v>233</v>
      </c>
      <c r="C135" s="76" t="s">
        <v>2078</v>
      </c>
      <c r="D135" s="73" t="s">
        <v>1268</v>
      </c>
      <c r="E135" s="74">
        <f t="shared" si="1"/>
        <v>2602</v>
      </c>
      <c r="G135" s="74">
        <f>48*51.5+130</f>
        <v>2602</v>
      </c>
      <c r="I135" s="137"/>
    </row>
    <row r="136" spans="1:14">
      <c r="A136" s="4">
        <v>131</v>
      </c>
      <c r="B136" s="10" t="s">
        <v>234</v>
      </c>
      <c r="C136" s="76" t="s">
        <v>2080</v>
      </c>
      <c r="D136" s="73" t="s">
        <v>1268</v>
      </c>
      <c r="E136" s="74">
        <f t="shared" ref="E136:E199" si="2">+G136*$E$2*$E$3*$E$4</f>
        <v>17000</v>
      </c>
      <c r="G136" s="74">
        <v>17000</v>
      </c>
      <c r="I136" s="137"/>
    </row>
    <row r="137" spans="1:14">
      <c r="A137" s="4">
        <v>132</v>
      </c>
      <c r="B137" s="10" t="s">
        <v>235</v>
      </c>
      <c r="C137" s="71" t="s">
        <v>2090</v>
      </c>
      <c r="D137" s="73" t="s">
        <v>1679</v>
      </c>
      <c r="E137" s="74">
        <f t="shared" si="2"/>
        <v>0</v>
      </c>
      <c r="G137" s="299">
        <v>0</v>
      </c>
    </row>
    <row r="138" spans="1:14">
      <c r="A138" s="4">
        <v>133</v>
      </c>
      <c r="B138" s="10" t="s">
        <v>236</v>
      </c>
      <c r="C138" s="76" t="s">
        <v>2091</v>
      </c>
      <c r="D138" s="73" t="s">
        <v>1679</v>
      </c>
      <c r="E138" s="74">
        <f t="shared" si="2"/>
        <v>0</v>
      </c>
      <c r="G138" s="299">
        <v>0</v>
      </c>
    </row>
    <row r="139" spans="1:14">
      <c r="A139" s="4">
        <v>134</v>
      </c>
      <c r="B139" s="10" t="s">
        <v>237</v>
      </c>
      <c r="C139" s="71" t="s">
        <v>1983</v>
      </c>
      <c r="D139" s="73" t="s">
        <v>82</v>
      </c>
      <c r="E139" s="74">
        <f t="shared" si="2"/>
        <v>0</v>
      </c>
      <c r="G139" s="299">
        <v>0</v>
      </c>
    </row>
    <row r="140" spans="1:14">
      <c r="A140" s="4">
        <v>135</v>
      </c>
      <c r="B140" s="10" t="s">
        <v>238</v>
      </c>
      <c r="C140" s="71" t="s">
        <v>2092</v>
      </c>
      <c r="D140" s="73" t="s">
        <v>82</v>
      </c>
      <c r="E140" s="74">
        <f t="shared" si="2"/>
        <v>0</v>
      </c>
      <c r="G140" s="299">
        <v>0</v>
      </c>
    </row>
    <row r="141" spans="1:14">
      <c r="A141" s="4">
        <v>136</v>
      </c>
      <c r="B141" s="10" t="s">
        <v>239</v>
      </c>
      <c r="C141" s="71" t="s">
        <v>2093</v>
      </c>
      <c r="D141" s="73" t="s">
        <v>82</v>
      </c>
      <c r="E141" s="74">
        <f t="shared" si="2"/>
        <v>0</v>
      </c>
      <c r="G141" s="299">
        <v>0</v>
      </c>
    </row>
    <row r="142" spans="1:14">
      <c r="A142" s="4">
        <v>137</v>
      </c>
      <c r="B142" s="10" t="s">
        <v>240</v>
      </c>
      <c r="C142" s="71" t="s">
        <v>1987</v>
      </c>
      <c r="D142" s="73" t="s">
        <v>1679</v>
      </c>
      <c r="E142" s="74">
        <f t="shared" si="2"/>
        <v>0</v>
      </c>
      <c r="G142" s="299">
        <v>0</v>
      </c>
    </row>
    <row r="143" spans="1:14">
      <c r="A143" s="4">
        <v>138</v>
      </c>
      <c r="B143" s="10" t="s">
        <v>241</v>
      </c>
      <c r="C143" s="76" t="s">
        <v>2095</v>
      </c>
      <c r="D143" s="73" t="s">
        <v>67</v>
      </c>
      <c r="E143" s="74">
        <f t="shared" si="2"/>
        <v>30.545454545454547</v>
      </c>
      <c r="G143" s="74">
        <f>11088/1.21/300</f>
        <v>30.545454545454547</v>
      </c>
      <c r="H143" s="71" t="s">
        <v>2094</v>
      </c>
      <c r="I143" s="137">
        <v>42538</v>
      </c>
    </row>
    <row r="144" spans="1:14">
      <c r="A144" s="4">
        <v>139</v>
      </c>
      <c r="B144" s="10" t="s">
        <v>242</v>
      </c>
      <c r="C144" s="419" t="s">
        <v>2506</v>
      </c>
      <c r="D144" s="73" t="s">
        <v>67</v>
      </c>
      <c r="E144" s="74">
        <f t="shared" si="2"/>
        <v>6.1</v>
      </c>
      <c r="G144" s="74">
        <v>6.1</v>
      </c>
      <c r="I144" s="137"/>
    </row>
    <row r="145" spans="1:14">
      <c r="A145" s="4">
        <v>140</v>
      </c>
      <c r="B145" s="10" t="s">
        <v>243</v>
      </c>
      <c r="C145" s="419" t="s">
        <v>2507</v>
      </c>
      <c r="D145" s="73" t="s">
        <v>1679</v>
      </c>
      <c r="E145" s="74">
        <f t="shared" si="2"/>
        <v>21</v>
      </c>
      <c r="G145" s="74">
        <v>21</v>
      </c>
      <c r="I145" s="137"/>
    </row>
    <row r="146" spans="1:14">
      <c r="A146" s="4">
        <v>141</v>
      </c>
      <c r="B146" s="10" t="s">
        <v>244</v>
      </c>
      <c r="C146" s="419"/>
      <c r="E146" s="74">
        <f t="shared" si="2"/>
        <v>0</v>
      </c>
      <c r="G146" s="74">
        <v>0</v>
      </c>
      <c r="I146" s="137"/>
    </row>
    <row r="147" spans="1:14">
      <c r="A147" s="4">
        <v>142</v>
      </c>
      <c r="B147" s="10" t="s">
        <v>245</v>
      </c>
      <c r="C147" s="76" t="s">
        <v>2512</v>
      </c>
      <c r="D147" s="73" t="s">
        <v>1679</v>
      </c>
      <c r="E147" s="74">
        <f t="shared" si="2"/>
        <v>65</v>
      </c>
      <c r="G147" s="74">
        <v>65</v>
      </c>
      <c r="I147" s="137"/>
    </row>
    <row r="148" spans="1:14">
      <c r="A148" s="4">
        <v>143</v>
      </c>
      <c r="B148" s="10" t="s">
        <v>246</v>
      </c>
      <c r="C148" s="76"/>
      <c r="E148" s="74">
        <f t="shared" si="2"/>
        <v>0</v>
      </c>
      <c r="G148" s="74">
        <v>0</v>
      </c>
      <c r="I148" s="137"/>
    </row>
    <row r="149" spans="1:14">
      <c r="A149" s="4">
        <v>144</v>
      </c>
      <c r="B149" s="10" t="s">
        <v>247</v>
      </c>
      <c r="C149" s="76"/>
      <c r="E149" s="74">
        <f t="shared" si="2"/>
        <v>0</v>
      </c>
      <c r="G149" s="74">
        <v>0</v>
      </c>
      <c r="I149" s="137"/>
    </row>
    <row r="150" spans="1:14" ht="15" customHeight="1">
      <c r="A150" s="4">
        <v>145</v>
      </c>
      <c r="B150" s="10" t="s">
        <v>248</v>
      </c>
      <c r="C150" s="76"/>
      <c r="E150" s="74">
        <f t="shared" si="2"/>
        <v>0</v>
      </c>
      <c r="G150" s="74">
        <v>0</v>
      </c>
      <c r="I150" s="137"/>
    </row>
    <row r="151" spans="1:14">
      <c r="A151" s="4">
        <v>146</v>
      </c>
      <c r="B151" s="10" t="s">
        <v>249</v>
      </c>
      <c r="E151" s="74">
        <f t="shared" si="2"/>
        <v>0</v>
      </c>
      <c r="G151" s="74">
        <v>0</v>
      </c>
      <c r="I151" s="137"/>
    </row>
    <row r="152" spans="1:14">
      <c r="A152" s="4">
        <v>147</v>
      </c>
      <c r="B152" s="10" t="s">
        <v>250</v>
      </c>
      <c r="E152" s="74">
        <f t="shared" si="2"/>
        <v>0</v>
      </c>
      <c r="G152" s="74">
        <v>0</v>
      </c>
      <c r="I152" s="137"/>
    </row>
    <row r="153" spans="1:14">
      <c r="A153" s="4">
        <v>148</v>
      </c>
      <c r="B153" s="10" t="s">
        <v>251</v>
      </c>
      <c r="E153" s="74">
        <f t="shared" si="2"/>
        <v>0</v>
      </c>
      <c r="G153" s="74">
        <v>0</v>
      </c>
      <c r="I153" s="137"/>
    </row>
    <row r="154" spans="1:14">
      <c r="A154" s="4">
        <v>149</v>
      </c>
      <c r="B154" s="10" t="s">
        <v>252</v>
      </c>
      <c r="C154" s="71" t="s">
        <v>2085</v>
      </c>
      <c r="D154" s="73" t="s">
        <v>67</v>
      </c>
      <c r="E154" s="74">
        <f t="shared" si="2"/>
        <v>34</v>
      </c>
      <c r="G154" s="74">
        <v>34</v>
      </c>
      <c r="H154" s="71" t="s">
        <v>2086</v>
      </c>
      <c r="I154" s="137">
        <v>42535</v>
      </c>
    </row>
    <row r="155" spans="1:14">
      <c r="A155" s="4">
        <v>150</v>
      </c>
      <c r="B155" s="10" t="s">
        <v>253</v>
      </c>
      <c r="C155" s="285" t="s">
        <v>1953</v>
      </c>
      <c r="D155" s="73" t="s">
        <v>67</v>
      </c>
      <c r="E155" s="74">
        <f t="shared" si="2"/>
        <v>7.166666666666667</v>
      </c>
      <c r="G155" s="274">
        <v>7.166666666666667</v>
      </c>
      <c r="I155" s="137"/>
      <c r="J155" s="71" t="s">
        <v>2077</v>
      </c>
    </row>
    <row r="156" spans="1:14">
      <c r="A156" s="4">
        <v>151</v>
      </c>
      <c r="B156" s="10" t="s">
        <v>254</v>
      </c>
      <c r="C156" s="71" t="s">
        <v>70</v>
      </c>
      <c r="D156" s="73" t="s">
        <v>67</v>
      </c>
      <c r="E156" s="74">
        <f t="shared" si="2"/>
        <v>2.0474999999999999</v>
      </c>
      <c r="G156" s="74">
        <f>1.95*1.05</f>
        <v>2.0474999999999999</v>
      </c>
      <c r="H156" s="71" t="s">
        <v>2358</v>
      </c>
      <c r="I156" s="137">
        <v>42641</v>
      </c>
      <c r="J156" s="139">
        <f>87.52/50</f>
        <v>1.7504</v>
      </c>
    </row>
    <row r="157" spans="1:14">
      <c r="A157" s="4">
        <v>152</v>
      </c>
      <c r="B157" s="10" t="s">
        <v>255</v>
      </c>
      <c r="C157" s="71" t="s">
        <v>2066</v>
      </c>
      <c r="D157" s="73" t="s">
        <v>67</v>
      </c>
      <c r="E157" s="74">
        <f t="shared" si="2"/>
        <v>2.0474999999999999</v>
      </c>
      <c r="G157" s="74">
        <f>1.95*1.05</f>
        <v>2.0474999999999999</v>
      </c>
      <c r="H157" s="71" t="s">
        <v>2358</v>
      </c>
      <c r="I157" s="137">
        <v>42641</v>
      </c>
      <c r="J157" s="139"/>
    </row>
    <row r="158" spans="1:14">
      <c r="A158" s="4">
        <v>153</v>
      </c>
      <c r="B158" s="10" t="s">
        <v>256</v>
      </c>
      <c r="C158" s="71" t="s">
        <v>1954</v>
      </c>
      <c r="D158" s="73" t="s">
        <v>67</v>
      </c>
      <c r="E158" s="74">
        <f t="shared" si="2"/>
        <v>1.5645</v>
      </c>
      <c r="G158" s="74">
        <f>1.49*1.05</f>
        <v>1.5645</v>
      </c>
      <c r="H158" s="71" t="s">
        <v>2358</v>
      </c>
      <c r="I158" s="137">
        <v>42641</v>
      </c>
      <c r="J158" s="139">
        <f>55.4/40</f>
        <v>1.385</v>
      </c>
    </row>
    <row r="159" spans="1:14">
      <c r="A159" s="4">
        <v>154</v>
      </c>
      <c r="B159" s="10" t="s">
        <v>257</v>
      </c>
      <c r="C159" s="71" t="s">
        <v>69</v>
      </c>
      <c r="D159" s="73" t="s">
        <v>67</v>
      </c>
      <c r="E159" s="74">
        <f t="shared" si="2"/>
        <v>1.45</v>
      </c>
      <c r="G159" s="183">
        <v>1.45</v>
      </c>
      <c r="I159" s="137" t="s">
        <v>2065</v>
      </c>
      <c r="J159" s="139">
        <f>35.6/25</f>
        <v>1.4240000000000002</v>
      </c>
      <c r="K159" s="71" t="s">
        <v>2072</v>
      </c>
      <c r="L159" s="139">
        <f>61.9/25</f>
        <v>2.476</v>
      </c>
      <c r="M159" s="71" t="s">
        <v>2073</v>
      </c>
    </row>
    <row r="160" spans="1:14">
      <c r="A160" s="4">
        <v>155</v>
      </c>
      <c r="B160" s="10" t="s">
        <v>258</v>
      </c>
      <c r="C160" s="76" t="s">
        <v>1955</v>
      </c>
      <c r="D160" s="73" t="s">
        <v>67</v>
      </c>
      <c r="E160" s="74">
        <f t="shared" si="2"/>
        <v>3.7</v>
      </c>
      <c r="G160" s="274">
        <v>3.7</v>
      </c>
      <c r="H160" s="71" t="s">
        <v>1906</v>
      </c>
      <c r="I160" s="137"/>
      <c r="J160" s="139">
        <f>91.9/30</f>
        <v>3.0633333333333335</v>
      </c>
      <c r="K160" s="71" t="s">
        <v>2074</v>
      </c>
      <c r="L160" s="139">
        <f>70.41/30</f>
        <v>2.347</v>
      </c>
      <c r="M160" s="71" t="s">
        <v>2075</v>
      </c>
      <c r="N160" s="71" t="s">
        <v>2076</v>
      </c>
    </row>
    <row r="161" spans="1:11">
      <c r="A161" s="4">
        <v>156</v>
      </c>
      <c r="B161" s="10" t="s">
        <v>259</v>
      </c>
      <c r="C161" s="76" t="s">
        <v>1265</v>
      </c>
      <c r="D161" s="73" t="s">
        <v>67</v>
      </c>
      <c r="E161" s="74">
        <f t="shared" si="2"/>
        <v>4.9035812672176311</v>
      </c>
      <c r="G161" s="274">
        <f>178/1.21/30</f>
        <v>4.9035812672176311</v>
      </c>
      <c r="I161" s="137"/>
    </row>
    <row r="162" spans="1:11">
      <c r="A162" s="4">
        <v>157</v>
      </c>
      <c r="B162" s="10" t="s">
        <v>260</v>
      </c>
      <c r="C162" s="76" t="s">
        <v>1161</v>
      </c>
      <c r="D162" s="73" t="s">
        <v>67</v>
      </c>
      <c r="E162" s="74">
        <f t="shared" si="2"/>
        <v>18.649999999999999</v>
      </c>
      <c r="G162" s="274">
        <v>18.649999999999999</v>
      </c>
      <c r="H162" s="71" t="s">
        <v>1906</v>
      </c>
      <c r="I162" s="137"/>
      <c r="J162" s="71">
        <v>12.73</v>
      </c>
      <c r="K162" s="71" t="s">
        <v>2076</v>
      </c>
    </row>
    <row r="163" spans="1:11">
      <c r="A163" s="4">
        <v>158</v>
      </c>
      <c r="B163" s="10" t="s">
        <v>261</v>
      </c>
      <c r="E163" s="74">
        <f t="shared" si="2"/>
        <v>0</v>
      </c>
      <c r="G163" s="74">
        <v>0</v>
      </c>
      <c r="I163" s="137"/>
    </row>
    <row r="164" spans="1:11">
      <c r="A164" s="4">
        <v>159</v>
      </c>
      <c r="B164" s="10" t="s">
        <v>262</v>
      </c>
      <c r="C164" s="318" t="s">
        <v>2135</v>
      </c>
      <c r="D164" s="73" t="s">
        <v>1269</v>
      </c>
      <c r="E164" s="74">
        <f t="shared" si="2"/>
        <v>1120</v>
      </c>
      <c r="G164" s="74">
        <v>1120</v>
      </c>
      <c r="H164" s="71" t="s">
        <v>2359</v>
      </c>
      <c r="I164" s="318" t="s">
        <v>1915</v>
      </c>
    </row>
    <row r="165" spans="1:11">
      <c r="A165" s="4">
        <v>160</v>
      </c>
      <c r="B165" s="10" t="s">
        <v>263</v>
      </c>
      <c r="C165" s="318" t="s">
        <v>2136</v>
      </c>
      <c r="D165" s="73" t="s">
        <v>1269</v>
      </c>
      <c r="E165" s="74">
        <f t="shared" si="2"/>
        <v>0</v>
      </c>
      <c r="I165" s="318" t="s">
        <v>1916</v>
      </c>
    </row>
    <row r="166" spans="1:11">
      <c r="A166" s="4">
        <v>161</v>
      </c>
      <c r="B166" s="10" t="s">
        <v>264</v>
      </c>
      <c r="C166" s="318" t="s">
        <v>2137</v>
      </c>
      <c r="D166" s="73" t="s">
        <v>1269</v>
      </c>
      <c r="E166" s="74">
        <f t="shared" si="2"/>
        <v>1316</v>
      </c>
      <c r="G166" s="74">
        <v>1316</v>
      </c>
      <c r="H166" s="71" t="s">
        <v>2359</v>
      </c>
      <c r="I166" s="318" t="s">
        <v>1917</v>
      </c>
    </row>
    <row r="167" spans="1:11">
      <c r="A167" s="4">
        <v>162</v>
      </c>
      <c r="B167" s="10" t="s">
        <v>265</v>
      </c>
      <c r="C167" s="318" t="s">
        <v>2138</v>
      </c>
      <c r="D167" s="73" t="s">
        <v>1269</v>
      </c>
      <c r="E167" s="74">
        <f t="shared" si="2"/>
        <v>1421</v>
      </c>
      <c r="G167" s="74">
        <v>1421</v>
      </c>
      <c r="H167" s="71" t="s">
        <v>2359</v>
      </c>
      <c r="I167" s="318" t="s">
        <v>1918</v>
      </c>
    </row>
    <row r="168" spans="1:11">
      <c r="A168" s="4">
        <v>163</v>
      </c>
      <c r="B168" s="10" t="s">
        <v>266</v>
      </c>
      <c r="C168" s="318" t="s">
        <v>2139</v>
      </c>
      <c r="D168" s="73" t="s">
        <v>1269</v>
      </c>
      <c r="E168" s="74">
        <f t="shared" si="2"/>
        <v>1582</v>
      </c>
      <c r="G168" s="74">
        <v>1582</v>
      </c>
      <c r="H168" s="71" t="s">
        <v>2359</v>
      </c>
      <c r="I168" s="318" t="s">
        <v>1919</v>
      </c>
    </row>
    <row r="169" spans="1:11">
      <c r="A169" s="4">
        <v>164</v>
      </c>
      <c r="B169" s="10" t="s">
        <v>267</v>
      </c>
      <c r="C169" s="318" t="s">
        <v>2140</v>
      </c>
      <c r="D169" s="73" t="s">
        <v>1269</v>
      </c>
      <c r="E169" s="74">
        <f t="shared" si="2"/>
        <v>0</v>
      </c>
      <c r="G169" s="74">
        <v>0</v>
      </c>
      <c r="I169" s="318" t="s">
        <v>1920</v>
      </c>
    </row>
    <row r="170" spans="1:11">
      <c r="A170" s="4">
        <v>165</v>
      </c>
      <c r="B170" s="10" t="s">
        <v>268</v>
      </c>
      <c r="C170" s="71" t="s">
        <v>1956</v>
      </c>
      <c r="D170" s="73" t="s">
        <v>1269</v>
      </c>
      <c r="E170" s="74">
        <f t="shared" si="2"/>
        <v>200</v>
      </c>
      <c r="G170" s="74">
        <v>200</v>
      </c>
      <c r="H170" s="71" t="s">
        <v>2359</v>
      </c>
      <c r="I170" s="137"/>
    </row>
    <row r="171" spans="1:11">
      <c r="A171" s="4">
        <v>166</v>
      </c>
      <c r="B171" s="10" t="s">
        <v>269</v>
      </c>
      <c r="C171" s="71" t="s">
        <v>1957</v>
      </c>
      <c r="D171" s="73" t="s">
        <v>82</v>
      </c>
      <c r="E171" s="74">
        <f t="shared" si="2"/>
        <v>8000</v>
      </c>
      <c r="G171" s="74">
        <v>8000</v>
      </c>
      <c r="H171" s="71" t="s">
        <v>2359</v>
      </c>
      <c r="I171" s="137"/>
    </row>
    <row r="172" spans="1:11">
      <c r="A172" s="4">
        <v>167</v>
      </c>
      <c r="B172" s="10" t="s">
        <v>270</v>
      </c>
      <c r="C172" s="71" t="s">
        <v>1958</v>
      </c>
      <c r="D172" s="73" t="s">
        <v>82</v>
      </c>
      <c r="E172" s="74">
        <f t="shared" si="2"/>
        <v>2200</v>
      </c>
      <c r="G172" s="74">
        <v>2200</v>
      </c>
      <c r="H172" s="71" t="s">
        <v>2359</v>
      </c>
      <c r="I172" s="137"/>
    </row>
    <row r="173" spans="1:11">
      <c r="A173" s="4">
        <v>168</v>
      </c>
      <c r="B173" s="10" t="s">
        <v>271</v>
      </c>
      <c r="C173" s="71" t="s">
        <v>1543</v>
      </c>
      <c r="D173" s="73" t="s">
        <v>1269</v>
      </c>
      <c r="E173" s="74">
        <f t="shared" si="2"/>
        <v>200</v>
      </c>
      <c r="G173" s="74">
        <v>200</v>
      </c>
      <c r="H173" s="71" t="s">
        <v>2359</v>
      </c>
      <c r="I173" s="137"/>
    </row>
    <row r="174" spans="1:11">
      <c r="A174" s="4">
        <v>169</v>
      </c>
      <c r="B174" s="10" t="s">
        <v>272</v>
      </c>
      <c r="C174" s="71" t="s">
        <v>1677</v>
      </c>
      <c r="D174" s="73" t="s">
        <v>1268</v>
      </c>
      <c r="E174" s="74">
        <f t="shared" si="2"/>
        <v>0</v>
      </c>
      <c r="G174" s="74">
        <v>0</v>
      </c>
      <c r="I174" s="137"/>
    </row>
    <row r="175" spans="1:11">
      <c r="A175" s="4">
        <v>170</v>
      </c>
      <c r="B175" s="10" t="s">
        <v>273</v>
      </c>
      <c r="C175" s="71" t="s">
        <v>1959</v>
      </c>
      <c r="D175" s="73" t="s">
        <v>1872</v>
      </c>
      <c r="E175" s="74">
        <f t="shared" si="2"/>
        <v>0</v>
      </c>
      <c r="G175" s="74">
        <v>0</v>
      </c>
      <c r="I175" s="137"/>
    </row>
    <row r="176" spans="1:11">
      <c r="A176" s="4">
        <v>171</v>
      </c>
      <c r="B176" s="10" t="s">
        <v>274</v>
      </c>
      <c r="C176" s="71" t="s">
        <v>1873</v>
      </c>
      <c r="D176" s="73" t="s">
        <v>82</v>
      </c>
      <c r="E176" s="74">
        <f t="shared" si="2"/>
        <v>0</v>
      </c>
      <c r="G176" s="74">
        <v>0</v>
      </c>
      <c r="I176" s="137"/>
    </row>
    <row r="177" spans="1:9">
      <c r="A177" s="4">
        <v>172</v>
      </c>
      <c r="B177" s="10" t="s">
        <v>275</v>
      </c>
      <c r="E177" s="74">
        <f t="shared" si="2"/>
        <v>0</v>
      </c>
      <c r="G177" s="74">
        <v>0</v>
      </c>
      <c r="I177" s="137"/>
    </row>
    <row r="178" spans="1:9">
      <c r="A178" s="4">
        <v>173</v>
      </c>
      <c r="B178" s="10" t="s">
        <v>276</v>
      </c>
      <c r="E178" s="74">
        <f t="shared" si="2"/>
        <v>0</v>
      </c>
      <c r="G178" s="74">
        <v>0</v>
      </c>
      <c r="I178" s="137"/>
    </row>
    <row r="179" spans="1:9">
      <c r="A179" s="4">
        <v>174</v>
      </c>
      <c r="B179" s="10" t="s">
        <v>277</v>
      </c>
      <c r="E179" s="74">
        <f t="shared" si="2"/>
        <v>0</v>
      </c>
      <c r="G179" s="74">
        <v>0</v>
      </c>
      <c r="I179" s="137"/>
    </row>
    <row r="180" spans="1:9" ht="15" customHeight="1">
      <c r="A180" s="4">
        <v>175</v>
      </c>
      <c r="B180" s="10" t="s">
        <v>278</v>
      </c>
      <c r="C180" s="76"/>
      <c r="E180" s="74">
        <f t="shared" si="2"/>
        <v>0</v>
      </c>
      <c r="G180" s="74">
        <v>0</v>
      </c>
      <c r="I180" s="137"/>
    </row>
    <row r="181" spans="1:9">
      <c r="A181" s="4">
        <v>176</v>
      </c>
      <c r="B181" s="10" t="s">
        <v>279</v>
      </c>
      <c r="C181" s="76"/>
      <c r="E181" s="74">
        <f t="shared" si="2"/>
        <v>0</v>
      </c>
      <c r="G181" s="74">
        <v>0</v>
      </c>
      <c r="I181" s="137"/>
    </row>
    <row r="182" spans="1:9">
      <c r="A182" s="4">
        <v>177</v>
      </c>
      <c r="B182" s="10" t="s">
        <v>280</v>
      </c>
      <c r="C182" s="76"/>
      <c r="E182" s="74">
        <f t="shared" si="2"/>
        <v>0</v>
      </c>
      <c r="G182" s="74">
        <v>0</v>
      </c>
      <c r="I182" s="137"/>
    </row>
    <row r="183" spans="1:9">
      <c r="A183" s="4">
        <v>178</v>
      </c>
      <c r="B183" s="10" t="s">
        <v>281</v>
      </c>
      <c r="C183" s="76"/>
      <c r="E183" s="74">
        <f t="shared" si="2"/>
        <v>0</v>
      </c>
      <c r="G183" s="74">
        <v>0</v>
      </c>
      <c r="I183" s="137"/>
    </row>
    <row r="184" spans="1:9">
      <c r="A184" s="4">
        <v>179</v>
      </c>
      <c r="B184" s="10" t="s">
        <v>282</v>
      </c>
      <c r="C184" s="76"/>
      <c r="E184" s="74">
        <f t="shared" si="2"/>
        <v>0</v>
      </c>
      <c r="G184" s="74">
        <v>0</v>
      </c>
      <c r="I184" s="137"/>
    </row>
    <row r="185" spans="1:9">
      <c r="A185" s="4">
        <v>180</v>
      </c>
      <c r="B185" s="10" t="s">
        <v>283</v>
      </c>
      <c r="C185" s="76"/>
      <c r="E185" s="74">
        <f t="shared" si="2"/>
        <v>0</v>
      </c>
      <c r="G185" s="74">
        <v>0</v>
      </c>
      <c r="I185" s="137"/>
    </row>
    <row r="186" spans="1:9">
      <c r="A186" s="4">
        <v>181</v>
      </c>
      <c r="B186" s="10" t="s">
        <v>284</v>
      </c>
      <c r="C186" s="76"/>
      <c r="E186" s="74">
        <f t="shared" si="2"/>
        <v>0</v>
      </c>
      <c r="G186" s="74">
        <v>0</v>
      </c>
      <c r="I186" s="137"/>
    </row>
    <row r="187" spans="1:9">
      <c r="A187" s="4">
        <v>182</v>
      </c>
      <c r="B187" s="10" t="s">
        <v>285</v>
      </c>
      <c r="C187" s="76"/>
      <c r="E187" s="74">
        <f t="shared" si="2"/>
        <v>0</v>
      </c>
      <c r="G187" s="74">
        <v>0</v>
      </c>
      <c r="I187" s="137"/>
    </row>
    <row r="188" spans="1:9">
      <c r="A188" s="4">
        <v>183</v>
      </c>
      <c r="B188" s="10" t="s">
        <v>286</v>
      </c>
      <c r="C188" s="76"/>
      <c r="E188" s="74">
        <f t="shared" si="2"/>
        <v>0</v>
      </c>
      <c r="G188" s="74">
        <v>0</v>
      </c>
      <c r="I188" s="137"/>
    </row>
    <row r="189" spans="1:9">
      <c r="A189" s="4">
        <v>184</v>
      </c>
      <c r="B189" s="10" t="s">
        <v>287</v>
      </c>
      <c r="C189" s="76"/>
      <c r="E189" s="74">
        <f t="shared" si="2"/>
        <v>0</v>
      </c>
      <c r="G189" s="74">
        <v>0</v>
      </c>
      <c r="I189" s="137"/>
    </row>
    <row r="190" spans="1:9">
      <c r="A190" s="4">
        <v>185</v>
      </c>
      <c r="B190" s="10" t="s">
        <v>288</v>
      </c>
      <c r="C190" s="76"/>
      <c r="E190" s="74">
        <f t="shared" si="2"/>
        <v>0</v>
      </c>
      <c r="G190" s="74">
        <v>0</v>
      </c>
      <c r="I190" s="137"/>
    </row>
    <row r="191" spans="1:9">
      <c r="A191" s="4">
        <v>186</v>
      </c>
      <c r="B191" s="10" t="s">
        <v>289</v>
      </c>
      <c r="C191" s="76"/>
      <c r="E191" s="74">
        <f t="shared" si="2"/>
        <v>0</v>
      </c>
      <c r="G191" s="74">
        <v>0</v>
      </c>
      <c r="I191" s="137"/>
    </row>
    <row r="192" spans="1:9">
      <c r="A192" s="4">
        <v>187</v>
      </c>
      <c r="B192" s="10" t="s">
        <v>290</v>
      </c>
      <c r="C192" s="76"/>
      <c r="E192" s="74">
        <f t="shared" si="2"/>
        <v>0</v>
      </c>
      <c r="G192" s="74">
        <v>0</v>
      </c>
      <c r="I192" s="137"/>
    </row>
    <row r="193" spans="1:9">
      <c r="A193" s="4">
        <v>188</v>
      </c>
      <c r="B193" s="10" t="s">
        <v>291</v>
      </c>
      <c r="C193" s="76"/>
      <c r="E193" s="74">
        <f t="shared" si="2"/>
        <v>0</v>
      </c>
      <c r="G193" s="74">
        <v>0</v>
      </c>
      <c r="I193" s="137"/>
    </row>
    <row r="194" spans="1:9">
      <c r="A194" s="4">
        <v>189</v>
      </c>
      <c r="B194" s="10" t="s">
        <v>292</v>
      </c>
      <c r="C194" s="76"/>
      <c r="E194" s="74">
        <f t="shared" si="2"/>
        <v>0</v>
      </c>
      <c r="G194" s="74">
        <v>0</v>
      </c>
      <c r="I194" s="137"/>
    </row>
    <row r="195" spans="1:9">
      <c r="A195" s="4">
        <v>190</v>
      </c>
      <c r="B195" s="10" t="s">
        <v>293</v>
      </c>
      <c r="C195" s="76"/>
      <c r="E195" s="74">
        <f t="shared" si="2"/>
        <v>0</v>
      </c>
      <c r="G195" s="74">
        <v>0</v>
      </c>
      <c r="I195" s="137"/>
    </row>
    <row r="196" spans="1:9">
      <c r="A196" s="4">
        <v>191</v>
      </c>
      <c r="B196" s="10" t="s">
        <v>294</v>
      </c>
      <c r="C196" s="76"/>
      <c r="E196" s="74">
        <f t="shared" si="2"/>
        <v>0</v>
      </c>
      <c r="G196" s="74">
        <v>0</v>
      </c>
      <c r="I196" s="137"/>
    </row>
    <row r="197" spans="1:9">
      <c r="A197" s="4">
        <v>192</v>
      </c>
      <c r="B197" s="10" t="s">
        <v>295</v>
      </c>
      <c r="C197" s="76"/>
      <c r="E197" s="74">
        <f t="shared" si="2"/>
        <v>0</v>
      </c>
      <c r="G197" s="74">
        <v>0</v>
      </c>
      <c r="I197" s="137"/>
    </row>
    <row r="198" spans="1:9">
      <c r="A198" s="4">
        <v>193</v>
      </c>
      <c r="B198" s="10" t="s">
        <v>296</v>
      </c>
      <c r="C198" s="76"/>
      <c r="E198" s="74">
        <f t="shared" si="2"/>
        <v>0</v>
      </c>
      <c r="G198" s="74">
        <v>0</v>
      </c>
      <c r="I198" s="137"/>
    </row>
    <row r="199" spans="1:9">
      <c r="A199" s="4">
        <v>194</v>
      </c>
      <c r="B199" s="10" t="s">
        <v>297</v>
      </c>
      <c r="E199" s="74">
        <f t="shared" si="2"/>
        <v>0</v>
      </c>
      <c r="G199" s="74">
        <v>0</v>
      </c>
      <c r="I199" s="137"/>
    </row>
    <row r="200" spans="1:9" ht="15" customHeight="1">
      <c r="A200" s="4">
        <v>195</v>
      </c>
      <c r="B200" s="10" t="s">
        <v>298</v>
      </c>
      <c r="C200" s="76"/>
      <c r="E200" s="74">
        <f t="shared" ref="E200:E255" si="3">+G200*$E$2*$E$3*$E$4</f>
        <v>0</v>
      </c>
      <c r="G200" s="74">
        <v>0</v>
      </c>
      <c r="I200" s="137"/>
    </row>
    <row r="201" spans="1:9">
      <c r="A201" s="4">
        <v>196</v>
      </c>
      <c r="B201" s="10" t="s">
        <v>299</v>
      </c>
      <c r="C201" s="76"/>
      <c r="E201" s="74">
        <f t="shared" si="3"/>
        <v>0</v>
      </c>
      <c r="G201" s="74">
        <v>0</v>
      </c>
      <c r="I201" s="137"/>
    </row>
    <row r="202" spans="1:9">
      <c r="A202" s="4">
        <v>197</v>
      </c>
      <c r="B202" s="10" t="s">
        <v>300</v>
      </c>
      <c r="C202" s="76"/>
      <c r="E202" s="74">
        <f t="shared" si="3"/>
        <v>0</v>
      </c>
      <c r="G202" s="74">
        <v>0</v>
      </c>
      <c r="I202" s="137"/>
    </row>
    <row r="203" spans="1:9">
      <c r="A203" s="4">
        <v>198</v>
      </c>
      <c r="B203" s="10" t="s">
        <v>301</v>
      </c>
      <c r="C203" s="76"/>
      <c r="E203" s="74">
        <f t="shared" si="3"/>
        <v>0</v>
      </c>
      <c r="G203" s="74">
        <v>0</v>
      </c>
      <c r="I203" s="137"/>
    </row>
    <row r="204" spans="1:9">
      <c r="A204" s="4">
        <v>199</v>
      </c>
      <c r="B204" s="10" t="s">
        <v>302</v>
      </c>
      <c r="C204" s="76"/>
      <c r="E204" s="74">
        <f t="shared" si="3"/>
        <v>0</v>
      </c>
      <c r="G204" s="74">
        <v>0</v>
      </c>
      <c r="I204" s="137"/>
    </row>
    <row r="205" spans="1:9">
      <c r="A205" s="4">
        <v>200</v>
      </c>
      <c r="B205" s="10" t="s">
        <v>303</v>
      </c>
      <c r="C205" s="76"/>
      <c r="E205" s="74">
        <f t="shared" si="3"/>
        <v>0</v>
      </c>
      <c r="G205" s="74">
        <v>0</v>
      </c>
      <c r="I205" s="137"/>
    </row>
    <row r="206" spans="1:9">
      <c r="A206" s="4">
        <v>201</v>
      </c>
      <c r="B206" s="10" t="s">
        <v>304</v>
      </c>
      <c r="C206" s="76" t="s">
        <v>71</v>
      </c>
      <c r="D206" s="73" t="s">
        <v>1268</v>
      </c>
      <c r="E206" s="74">
        <f t="shared" si="3"/>
        <v>36.5</v>
      </c>
      <c r="G206" s="74">
        <v>36.5</v>
      </c>
      <c r="H206" s="71" t="s">
        <v>1532</v>
      </c>
      <c r="I206" s="137">
        <v>42530</v>
      </c>
    </row>
    <row r="207" spans="1:9">
      <c r="A207" s="4">
        <v>202</v>
      </c>
      <c r="B207" s="10" t="s">
        <v>305</v>
      </c>
      <c r="C207" s="76" t="s">
        <v>1270</v>
      </c>
      <c r="D207" s="73" t="s">
        <v>1268</v>
      </c>
      <c r="E207" s="74">
        <f t="shared" si="3"/>
        <v>35.9</v>
      </c>
      <c r="G207" s="74">
        <v>35.9</v>
      </c>
      <c r="H207" s="71" t="s">
        <v>1532</v>
      </c>
      <c r="I207" s="137">
        <v>42530</v>
      </c>
    </row>
    <row r="208" spans="1:9">
      <c r="A208" s="4">
        <v>203</v>
      </c>
      <c r="B208" s="10" t="s">
        <v>306</v>
      </c>
      <c r="C208" s="76" t="s">
        <v>72</v>
      </c>
      <c r="D208" s="73" t="s">
        <v>1268</v>
      </c>
      <c r="E208" s="74">
        <f t="shared" si="3"/>
        <v>15</v>
      </c>
      <c r="G208" s="74">
        <v>15</v>
      </c>
      <c r="H208" s="71" t="s">
        <v>1532</v>
      </c>
      <c r="I208" s="137">
        <v>42530</v>
      </c>
    </row>
    <row r="209" spans="1:9">
      <c r="A209" s="4">
        <v>204</v>
      </c>
      <c r="B209" s="10" t="s">
        <v>307</v>
      </c>
      <c r="C209" s="76" t="s">
        <v>73</v>
      </c>
      <c r="D209" s="73" t="s">
        <v>2</v>
      </c>
      <c r="E209" s="74">
        <f t="shared" si="3"/>
        <v>11.5</v>
      </c>
      <c r="G209" s="74">
        <v>11.5</v>
      </c>
      <c r="H209" s="71" t="s">
        <v>1532</v>
      </c>
      <c r="I209" s="137">
        <v>42530</v>
      </c>
    </row>
    <row r="210" spans="1:9">
      <c r="A210" s="4">
        <v>205</v>
      </c>
      <c r="B210" s="10" t="s">
        <v>308</v>
      </c>
      <c r="C210" s="76" t="s">
        <v>74</v>
      </c>
      <c r="D210" s="73" t="s">
        <v>2</v>
      </c>
      <c r="E210" s="74">
        <f t="shared" si="3"/>
        <v>13.7</v>
      </c>
      <c r="G210" s="74">
        <v>13.7</v>
      </c>
      <c r="H210" s="71" t="s">
        <v>1532</v>
      </c>
      <c r="I210" s="137">
        <v>42530</v>
      </c>
    </row>
    <row r="211" spans="1:9">
      <c r="A211" s="4">
        <v>206</v>
      </c>
      <c r="B211" s="10" t="s">
        <v>309</v>
      </c>
      <c r="C211" s="76" t="s">
        <v>75</v>
      </c>
      <c r="D211" s="73" t="s">
        <v>2</v>
      </c>
      <c r="E211" s="74">
        <f t="shared" si="3"/>
        <v>10.199999999999999</v>
      </c>
      <c r="G211" s="74">
        <v>10.199999999999999</v>
      </c>
      <c r="H211" s="71" t="s">
        <v>1532</v>
      </c>
      <c r="I211" s="137">
        <v>42530</v>
      </c>
    </row>
    <row r="212" spans="1:9">
      <c r="A212" s="4">
        <v>207</v>
      </c>
      <c r="B212" s="10" t="s">
        <v>310</v>
      </c>
      <c r="C212" s="76" t="s">
        <v>1272</v>
      </c>
      <c r="D212" s="73" t="s">
        <v>2</v>
      </c>
      <c r="E212" s="74">
        <f t="shared" si="3"/>
        <v>7.7</v>
      </c>
      <c r="G212" s="74">
        <v>7.7</v>
      </c>
      <c r="H212" s="71" t="s">
        <v>1532</v>
      </c>
      <c r="I212" s="137">
        <v>42530</v>
      </c>
    </row>
    <row r="213" spans="1:9">
      <c r="A213" s="4">
        <v>208</v>
      </c>
      <c r="B213" s="10" t="s">
        <v>311</v>
      </c>
      <c r="C213" s="76" t="s">
        <v>1273</v>
      </c>
      <c r="D213" s="73" t="s">
        <v>2</v>
      </c>
      <c r="E213" s="74">
        <f t="shared" si="3"/>
        <v>8.6</v>
      </c>
      <c r="G213" s="74">
        <v>8.6</v>
      </c>
      <c r="H213" s="71" t="s">
        <v>1532</v>
      </c>
      <c r="I213" s="137">
        <v>42530</v>
      </c>
    </row>
    <row r="214" spans="1:9">
      <c r="A214" s="4">
        <v>209</v>
      </c>
      <c r="B214" s="10" t="s">
        <v>312</v>
      </c>
      <c r="C214" s="76" t="s">
        <v>1275</v>
      </c>
      <c r="D214" s="73" t="s">
        <v>2</v>
      </c>
      <c r="E214" s="74">
        <f t="shared" si="3"/>
        <v>8.9</v>
      </c>
      <c r="G214" s="74">
        <v>8.9</v>
      </c>
      <c r="H214" s="71" t="s">
        <v>1532</v>
      </c>
      <c r="I214" s="137">
        <v>42530</v>
      </c>
    </row>
    <row r="215" spans="1:9">
      <c r="A215" s="4">
        <v>210</v>
      </c>
      <c r="B215" s="10" t="s">
        <v>313</v>
      </c>
      <c r="C215" s="76" t="s">
        <v>1276</v>
      </c>
      <c r="D215" s="73" t="s">
        <v>2</v>
      </c>
      <c r="E215" s="74">
        <f t="shared" si="3"/>
        <v>13.1</v>
      </c>
      <c r="G215" s="74">
        <v>13.1</v>
      </c>
      <c r="H215" s="71" t="s">
        <v>1532</v>
      </c>
      <c r="I215" s="137">
        <v>42530</v>
      </c>
    </row>
    <row r="216" spans="1:9">
      <c r="A216" s="4">
        <v>211</v>
      </c>
      <c r="B216" s="10" t="s">
        <v>314</v>
      </c>
      <c r="C216" s="76" t="s">
        <v>76</v>
      </c>
      <c r="D216" s="73" t="s">
        <v>1277</v>
      </c>
      <c r="E216" s="74">
        <f t="shared" si="3"/>
        <v>0.3</v>
      </c>
      <c r="G216" s="74">
        <v>0.3</v>
      </c>
      <c r="H216" s="71" t="s">
        <v>1532</v>
      </c>
      <c r="I216" s="137">
        <v>42530</v>
      </c>
    </row>
    <row r="217" spans="1:9">
      <c r="A217" s="4">
        <v>212</v>
      </c>
      <c r="B217" s="10" t="s">
        <v>315</v>
      </c>
      <c r="C217" s="76" t="s">
        <v>77</v>
      </c>
      <c r="D217" s="73" t="s">
        <v>1277</v>
      </c>
      <c r="E217" s="74">
        <f t="shared" si="3"/>
        <v>0.25</v>
      </c>
      <c r="G217" s="74">
        <v>0.25</v>
      </c>
      <c r="H217" s="71" t="s">
        <v>1532</v>
      </c>
      <c r="I217" s="137">
        <v>42530</v>
      </c>
    </row>
    <row r="218" spans="1:9">
      <c r="A218" s="4">
        <v>213</v>
      </c>
      <c r="B218" s="10" t="s">
        <v>316</v>
      </c>
      <c r="C218" s="76" t="s">
        <v>78</v>
      </c>
      <c r="D218" s="73" t="s">
        <v>1277</v>
      </c>
      <c r="E218" s="74">
        <f t="shared" si="3"/>
        <v>0.35</v>
      </c>
      <c r="G218" s="74">
        <v>0.35</v>
      </c>
      <c r="H218" s="71" t="s">
        <v>1532</v>
      </c>
      <c r="I218" s="137">
        <v>42530</v>
      </c>
    </row>
    <row r="219" spans="1:9">
      <c r="A219" s="4">
        <v>214</v>
      </c>
      <c r="B219" s="10" t="s">
        <v>317</v>
      </c>
      <c r="C219" s="76" t="s">
        <v>79</v>
      </c>
      <c r="D219" s="73" t="s">
        <v>1277</v>
      </c>
      <c r="E219" s="74">
        <f t="shared" si="3"/>
        <v>0.7</v>
      </c>
      <c r="G219" s="74">
        <v>0.7</v>
      </c>
      <c r="H219" s="71" t="s">
        <v>1532</v>
      </c>
      <c r="I219" s="137">
        <v>42530</v>
      </c>
    </row>
    <row r="220" spans="1:9" ht="15" customHeight="1">
      <c r="A220" s="4">
        <v>215</v>
      </c>
      <c r="B220" s="10" t="s">
        <v>318</v>
      </c>
      <c r="C220" s="76" t="s">
        <v>80</v>
      </c>
      <c r="D220" s="73" t="s">
        <v>1277</v>
      </c>
      <c r="E220" s="74">
        <f t="shared" si="3"/>
        <v>0.85</v>
      </c>
      <c r="G220" s="74">
        <v>0.85</v>
      </c>
      <c r="H220" s="71" t="s">
        <v>1532</v>
      </c>
      <c r="I220" s="137">
        <v>42530</v>
      </c>
    </row>
    <row r="221" spans="1:9">
      <c r="A221" s="4">
        <v>216</v>
      </c>
      <c r="B221" s="10" t="s">
        <v>319</v>
      </c>
      <c r="C221" s="76" t="s">
        <v>81</v>
      </c>
      <c r="D221" s="73" t="s">
        <v>1277</v>
      </c>
      <c r="E221" s="74">
        <f t="shared" si="3"/>
        <v>0</v>
      </c>
      <c r="G221" s="274">
        <v>0</v>
      </c>
      <c r="I221" s="137"/>
    </row>
    <row r="222" spans="1:9">
      <c r="A222" s="4">
        <v>217</v>
      </c>
      <c r="B222" s="10" t="s">
        <v>320</v>
      </c>
      <c r="C222" s="76" t="s">
        <v>1960</v>
      </c>
      <c r="D222" s="73" t="s">
        <v>67</v>
      </c>
      <c r="E222" s="74">
        <f t="shared" si="3"/>
        <v>10.25</v>
      </c>
      <c r="G222" s="74">
        <v>10.25</v>
      </c>
      <c r="H222" s="71" t="s">
        <v>1532</v>
      </c>
      <c r="I222" s="137"/>
    </row>
    <row r="223" spans="1:9">
      <c r="A223" s="4">
        <v>218</v>
      </c>
      <c r="B223" s="10" t="s">
        <v>321</v>
      </c>
      <c r="C223" s="76" t="s">
        <v>1961</v>
      </c>
      <c r="D223" s="73" t="s">
        <v>67</v>
      </c>
      <c r="E223" s="74">
        <f t="shared" si="3"/>
        <v>0</v>
      </c>
      <c r="G223" s="274">
        <v>0</v>
      </c>
      <c r="I223" s="137"/>
    </row>
    <row r="224" spans="1:9">
      <c r="A224" s="4">
        <v>219</v>
      </c>
      <c r="B224" s="10" t="s">
        <v>322</v>
      </c>
      <c r="C224" s="76" t="s">
        <v>1962</v>
      </c>
      <c r="D224" s="73" t="s">
        <v>2</v>
      </c>
      <c r="E224" s="74">
        <f t="shared" si="3"/>
        <v>0.5</v>
      </c>
      <c r="G224" s="74">
        <v>0.5</v>
      </c>
      <c r="H224" s="71" t="s">
        <v>1532</v>
      </c>
      <c r="I224" s="137"/>
    </row>
    <row r="225" spans="1:10">
      <c r="A225" s="4">
        <v>220</v>
      </c>
      <c r="B225" s="10" t="s">
        <v>323</v>
      </c>
      <c r="C225" s="76" t="s">
        <v>1271</v>
      </c>
      <c r="D225" s="73" t="s">
        <v>2</v>
      </c>
      <c r="E225" s="74">
        <f t="shared" si="3"/>
        <v>0.85</v>
      </c>
      <c r="G225" s="74">
        <v>0.85</v>
      </c>
      <c r="H225" s="71" t="s">
        <v>1532</v>
      </c>
      <c r="I225" s="137"/>
    </row>
    <row r="226" spans="1:10">
      <c r="A226" s="4">
        <v>221</v>
      </c>
      <c r="B226" s="10" t="s">
        <v>324</v>
      </c>
      <c r="C226" s="76" t="s">
        <v>1274</v>
      </c>
      <c r="D226" s="73" t="s">
        <v>67</v>
      </c>
      <c r="E226" s="74">
        <f t="shared" si="3"/>
        <v>7.5</v>
      </c>
      <c r="G226" s="183">
        <v>7.5</v>
      </c>
      <c r="H226" s="71" t="s">
        <v>1688</v>
      </c>
      <c r="I226" s="137"/>
      <c r="J226" s="285"/>
    </row>
    <row r="227" spans="1:10">
      <c r="A227" s="4">
        <v>222</v>
      </c>
      <c r="B227" s="10" t="s">
        <v>325</v>
      </c>
      <c r="C227" s="76" t="s">
        <v>1530</v>
      </c>
      <c r="D227" s="73" t="s">
        <v>1268</v>
      </c>
      <c r="E227" s="74">
        <f t="shared" si="3"/>
        <v>31.9</v>
      </c>
      <c r="G227" s="74">
        <v>31.9</v>
      </c>
      <c r="H227" s="71" t="s">
        <v>1532</v>
      </c>
      <c r="I227" s="137"/>
      <c r="J227" s="285"/>
    </row>
    <row r="228" spans="1:10">
      <c r="A228" s="4">
        <v>223</v>
      </c>
      <c r="B228" s="10" t="s">
        <v>326</v>
      </c>
      <c r="C228" s="76" t="s">
        <v>1531</v>
      </c>
      <c r="D228" s="73" t="s">
        <v>1268</v>
      </c>
      <c r="E228" s="74">
        <f t="shared" si="3"/>
        <v>57.9</v>
      </c>
      <c r="G228" s="74">
        <v>57.9</v>
      </c>
      <c r="H228" s="71" t="s">
        <v>1532</v>
      </c>
      <c r="I228" s="137"/>
      <c r="J228" s="285"/>
    </row>
    <row r="229" spans="1:10">
      <c r="A229" s="4">
        <v>224</v>
      </c>
      <c r="B229" s="10" t="s">
        <v>327</v>
      </c>
      <c r="C229" s="76" t="s">
        <v>1963</v>
      </c>
      <c r="D229" s="73" t="s">
        <v>1679</v>
      </c>
      <c r="E229" s="74">
        <f t="shared" si="3"/>
        <v>12.2</v>
      </c>
      <c r="G229" s="74">
        <v>12.2</v>
      </c>
      <c r="I229" s="137"/>
      <c r="J229" s="285"/>
    </row>
    <row r="230" spans="1:10" ht="15" customHeight="1">
      <c r="A230" s="4">
        <v>225</v>
      </c>
      <c r="B230" s="10" t="s">
        <v>328</v>
      </c>
      <c r="C230" s="76" t="s">
        <v>1680</v>
      </c>
      <c r="D230" s="73" t="s">
        <v>1268</v>
      </c>
      <c r="E230" s="74">
        <f t="shared" si="3"/>
        <v>5.95</v>
      </c>
      <c r="G230" s="74">
        <v>5.95</v>
      </c>
      <c r="I230" s="137"/>
      <c r="J230" s="285"/>
    </row>
    <row r="231" spans="1:10">
      <c r="A231" s="4">
        <v>226</v>
      </c>
      <c r="B231" s="10" t="s">
        <v>329</v>
      </c>
      <c r="C231" s="76" t="s">
        <v>1681</v>
      </c>
      <c r="D231" s="73" t="s">
        <v>67</v>
      </c>
      <c r="E231" s="74">
        <f t="shared" si="3"/>
        <v>62</v>
      </c>
      <c r="G231" s="274">
        <v>62</v>
      </c>
      <c r="H231" s="71" t="s">
        <v>1687</v>
      </c>
      <c r="I231" s="137"/>
      <c r="J231" s="285"/>
    </row>
    <row r="232" spans="1:10">
      <c r="A232" s="4">
        <v>227</v>
      </c>
      <c r="B232" s="10" t="s">
        <v>330</v>
      </c>
      <c r="C232" s="76" t="s">
        <v>1682</v>
      </c>
      <c r="D232" s="73" t="s">
        <v>1268</v>
      </c>
      <c r="E232" s="74">
        <f t="shared" si="3"/>
        <v>7</v>
      </c>
      <c r="G232" s="310">
        <v>7</v>
      </c>
      <c r="H232" s="71" t="s">
        <v>1686</v>
      </c>
      <c r="I232" s="137"/>
      <c r="J232" s="285"/>
    </row>
    <row r="233" spans="1:10">
      <c r="A233" s="4">
        <v>228</v>
      </c>
      <c r="B233" s="10" t="s">
        <v>331</v>
      </c>
      <c r="C233" s="76" t="s">
        <v>1683</v>
      </c>
      <c r="D233" s="73" t="s">
        <v>1268</v>
      </c>
      <c r="E233" s="74">
        <f t="shared" si="3"/>
        <v>136.30000000000001</v>
      </c>
      <c r="G233" s="74">
        <v>136.30000000000001</v>
      </c>
      <c r="H233" s="71" t="s">
        <v>1532</v>
      </c>
      <c r="I233" s="137">
        <v>42530</v>
      </c>
      <c r="J233" s="285"/>
    </row>
    <row r="234" spans="1:10">
      <c r="A234" s="4">
        <v>229</v>
      </c>
      <c r="B234" s="10" t="s">
        <v>332</v>
      </c>
      <c r="C234" s="76" t="s">
        <v>1684</v>
      </c>
      <c r="D234" s="73" t="s">
        <v>1268</v>
      </c>
      <c r="E234" s="74">
        <f t="shared" si="3"/>
        <v>160.69999999999999</v>
      </c>
      <c r="G234" s="74">
        <v>160.69999999999999</v>
      </c>
      <c r="H234" s="71" t="s">
        <v>1532</v>
      </c>
      <c r="I234" s="137">
        <v>42530</v>
      </c>
    </row>
    <row r="235" spans="1:10">
      <c r="A235" s="4">
        <v>230</v>
      </c>
      <c r="B235" s="10" t="s">
        <v>333</v>
      </c>
      <c r="C235" s="76" t="s">
        <v>1685</v>
      </c>
      <c r="D235" s="73" t="s">
        <v>1268</v>
      </c>
      <c r="E235" s="74">
        <f t="shared" si="3"/>
        <v>200.9</v>
      </c>
      <c r="G235" s="74">
        <v>200.9</v>
      </c>
      <c r="H235" s="71" t="s">
        <v>1532</v>
      </c>
      <c r="I235" s="137">
        <v>42530</v>
      </c>
    </row>
    <row r="236" spans="1:10">
      <c r="A236" s="4">
        <v>231</v>
      </c>
      <c r="B236" s="10" t="s">
        <v>334</v>
      </c>
      <c r="C236" s="76" t="s">
        <v>1695</v>
      </c>
      <c r="D236" s="73" t="s">
        <v>1268</v>
      </c>
      <c r="E236" s="74">
        <f t="shared" si="3"/>
        <v>54.6</v>
      </c>
      <c r="G236" s="74">
        <v>54.6</v>
      </c>
      <c r="H236" s="71" t="s">
        <v>1532</v>
      </c>
      <c r="I236" s="137">
        <v>42530</v>
      </c>
    </row>
    <row r="237" spans="1:10">
      <c r="A237" s="4">
        <v>232</v>
      </c>
      <c r="B237" s="10" t="s">
        <v>335</v>
      </c>
      <c r="C237" s="76" t="s">
        <v>1696</v>
      </c>
      <c r="D237" s="73" t="s">
        <v>1268</v>
      </c>
      <c r="E237" s="74">
        <f t="shared" si="3"/>
        <v>63.2</v>
      </c>
      <c r="G237" s="74">
        <v>63.2</v>
      </c>
      <c r="H237" s="71" t="s">
        <v>1532</v>
      </c>
      <c r="I237" s="137">
        <v>42530</v>
      </c>
    </row>
    <row r="238" spans="1:10">
      <c r="A238" s="4">
        <v>233</v>
      </c>
      <c r="B238" s="10" t="s">
        <v>336</v>
      </c>
      <c r="C238" s="76" t="s">
        <v>1964</v>
      </c>
      <c r="D238" s="73" t="s">
        <v>1268</v>
      </c>
      <c r="E238" s="74">
        <f t="shared" si="3"/>
        <v>4.5999999999999996</v>
      </c>
      <c r="G238" s="74">
        <v>4.5999999999999996</v>
      </c>
      <c r="H238" s="71" t="s">
        <v>1532</v>
      </c>
      <c r="I238" s="137">
        <v>42530</v>
      </c>
    </row>
    <row r="239" spans="1:10">
      <c r="A239" s="4">
        <v>234</v>
      </c>
      <c r="B239" s="10" t="s">
        <v>337</v>
      </c>
      <c r="C239" s="76" t="s">
        <v>1708</v>
      </c>
      <c r="D239" s="73" t="s">
        <v>1268</v>
      </c>
      <c r="E239" s="74">
        <f t="shared" si="3"/>
        <v>7.5</v>
      </c>
      <c r="G239" s="74">
        <v>7.5</v>
      </c>
      <c r="H239" s="71" t="s">
        <v>1532</v>
      </c>
      <c r="I239" s="137">
        <v>42530</v>
      </c>
    </row>
    <row r="240" spans="1:10">
      <c r="A240" s="4">
        <v>235</v>
      </c>
      <c r="B240" s="10" t="s">
        <v>338</v>
      </c>
      <c r="C240" s="76" t="s">
        <v>1874</v>
      </c>
      <c r="D240" s="73" t="s">
        <v>1268</v>
      </c>
      <c r="E240" s="74">
        <f t="shared" si="3"/>
        <v>0</v>
      </c>
      <c r="G240" s="274">
        <v>0</v>
      </c>
      <c r="H240" s="71" t="s">
        <v>1875</v>
      </c>
      <c r="I240" s="137"/>
    </row>
    <row r="241" spans="1:9">
      <c r="A241" s="4">
        <v>236</v>
      </c>
      <c r="B241" s="10" t="s">
        <v>339</v>
      </c>
      <c r="C241" s="76" t="s">
        <v>1876</v>
      </c>
      <c r="D241" s="73" t="s">
        <v>1268</v>
      </c>
      <c r="E241" s="74">
        <f t="shared" si="3"/>
        <v>47.6</v>
      </c>
      <c r="G241" s="74">
        <v>47.6</v>
      </c>
      <c r="H241" s="71" t="s">
        <v>1532</v>
      </c>
      <c r="I241" s="137">
        <v>42530</v>
      </c>
    </row>
    <row r="242" spans="1:9">
      <c r="A242" s="4">
        <v>237</v>
      </c>
      <c r="B242" s="10" t="s">
        <v>340</v>
      </c>
      <c r="C242" s="76"/>
      <c r="D242" s="73" t="s">
        <v>1268</v>
      </c>
      <c r="E242" s="74">
        <f t="shared" si="3"/>
        <v>0</v>
      </c>
      <c r="G242" s="74">
        <v>0</v>
      </c>
      <c r="I242" s="137"/>
    </row>
    <row r="243" spans="1:9">
      <c r="A243" s="4">
        <v>238</v>
      </c>
      <c r="B243" s="10" t="s">
        <v>341</v>
      </c>
      <c r="C243" s="76"/>
      <c r="E243" s="74">
        <f t="shared" si="3"/>
        <v>0</v>
      </c>
      <c r="G243" s="74">
        <v>0</v>
      </c>
      <c r="I243" s="137"/>
    </row>
    <row r="244" spans="1:9">
      <c r="A244" s="4">
        <v>239</v>
      </c>
      <c r="B244" s="10" t="s">
        <v>342</v>
      </c>
      <c r="C244" s="76"/>
      <c r="E244" s="74">
        <f t="shared" si="3"/>
        <v>0</v>
      </c>
      <c r="G244" s="74">
        <v>0</v>
      </c>
      <c r="I244" s="137"/>
    </row>
    <row r="245" spans="1:9">
      <c r="A245" s="4">
        <v>240</v>
      </c>
      <c r="B245" s="10" t="s">
        <v>343</v>
      </c>
      <c r="C245" s="76"/>
      <c r="E245" s="74">
        <f t="shared" si="3"/>
        <v>0</v>
      </c>
      <c r="G245" s="74">
        <v>0</v>
      </c>
      <c r="I245" s="137"/>
    </row>
    <row r="246" spans="1:9">
      <c r="A246" s="4">
        <v>241</v>
      </c>
      <c r="B246" s="10" t="s">
        <v>344</v>
      </c>
      <c r="C246" s="76"/>
      <c r="E246" s="74">
        <f t="shared" si="3"/>
        <v>0</v>
      </c>
      <c r="G246" s="74">
        <v>0</v>
      </c>
      <c r="I246" s="137"/>
    </row>
    <row r="247" spans="1:9">
      <c r="A247" s="4">
        <v>242</v>
      </c>
      <c r="B247" s="10" t="s">
        <v>345</v>
      </c>
      <c r="C247" s="76"/>
      <c r="E247" s="74">
        <f t="shared" si="3"/>
        <v>0</v>
      </c>
      <c r="G247" s="74">
        <v>0</v>
      </c>
      <c r="I247" s="137"/>
    </row>
    <row r="248" spans="1:9">
      <c r="A248" s="4">
        <v>243</v>
      </c>
      <c r="B248" s="10" t="s">
        <v>346</v>
      </c>
      <c r="C248" s="76"/>
      <c r="E248" s="74">
        <f t="shared" si="3"/>
        <v>0</v>
      </c>
      <c r="G248" s="74">
        <v>0</v>
      </c>
      <c r="I248" s="137"/>
    </row>
    <row r="249" spans="1:9">
      <c r="A249" s="4">
        <v>244</v>
      </c>
      <c r="B249" s="10" t="s">
        <v>347</v>
      </c>
      <c r="E249" s="74">
        <f t="shared" si="3"/>
        <v>0</v>
      </c>
      <c r="G249" s="74">
        <v>0</v>
      </c>
      <c r="I249" s="137"/>
    </row>
    <row r="250" spans="1:9" ht="15" customHeight="1">
      <c r="A250" s="4">
        <v>245</v>
      </c>
      <c r="B250" s="10" t="s">
        <v>348</v>
      </c>
      <c r="C250" s="76"/>
      <c r="E250" s="74">
        <f t="shared" si="3"/>
        <v>0</v>
      </c>
      <c r="G250" s="74">
        <v>0</v>
      </c>
      <c r="I250" s="137"/>
    </row>
    <row r="251" spans="1:9">
      <c r="A251" s="4">
        <v>246</v>
      </c>
      <c r="B251" s="10" t="s">
        <v>349</v>
      </c>
      <c r="C251" s="76"/>
      <c r="E251" s="74">
        <f t="shared" si="3"/>
        <v>0</v>
      </c>
      <c r="G251" s="74">
        <v>0</v>
      </c>
      <c r="I251" s="137"/>
    </row>
    <row r="252" spans="1:9">
      <c r="A252" s="4">
        <v>247</v>
      </c>
      <c r="B252" s="10" t="s">
        <v>350</v>
      </c>
      <c r="C252" s="76"/>
      <c r="E252" s="74">
        <f t="shared" si="3"/>
        <v>6611.5702479338843</v>
      </c>
      <c r="G252" s="74">
        <f>8000/1.21</f>
        <v>6611.5702479338843</v>
      </c>
      <c r="H252" s="71" t="s">
        <v>2151</v>
      </c>
      <c r="I252" s="137"/>
    </row>
    <row r="253" spans="1:9">
      <c r="A253" s="4">
        <v>248</v>
      </c>
      <c r="B253" s="10" t="s">
        <v>351</v>
      </c>
      <c r="C253" s="76" t="s">
        <v>2107</v>
      </c>
      <c r="D253" s="73" t="s">
        <v>1268</v>
      </c>
      <c r="E253" s="74">
        <f t="shared" si="3"/>
        <v>4958.6776859504134</v>
      </c>
      <c r="G253" s="74">
        <f>6000/1.21</f>
        <v>4958.6776859504134</v>
      </c>
      <c r="H253" s="71" t="s">
        <v>2150</v>
      </c>
      <c r="I253" s="137"/>
    </row>
    <row r="254" spans="1:9">
      <c r="A254" s="4">
        <v>249</v>
      </c>
      <c r="B254" s="10" t="s">
        <v>352</v>
      </c>
      <c r="C254" s="282" t="s">
        <v>1939</v>
      </c>
      <c r="D254" s="73" t="s">
        <v>1268</v>
      </c>
      <c r="E254" s="74">
        <f t="shared" si="3"/>
        <v>992</v>
      </c>
      <c r="G254" s="74">
        <v>992</v>
      </c>
      <c r="I254" s="137"/>
    </row>
    <row r="255" spans="1:9">
      <c r="A255" s="4">
        <v>250</v>
      </c>
      <c r="B255" s="10" t="s">
        <v>353</v>
      </c>
      <c r="C255" s="282" t="s">
        <v>1938</v>
      </c>
      <c r="D255" s="73" t="s">
        <v>1268</v>
      </c>
      <c r="E255" s="74">
        <f t="shared" si="3"/>
        <v>743.80165289256206</v>
      </c>
      <c r="G255" s="74">
        <f>900/1.21</f>
        <v>743.80165289256206</v>
      </c>
      <c r="I255" s="137"/>
    </row>
    <row r="256" spans="1:9">
      <c r="A256" s="4">
        <v>251</v>
      </c>
      <c r="B256" s="10" t="s">
        <v>354</v>
      </c>
      <c r="C256" s="304" t="s">
        <v>2238</v>
      </c>
      <c r="D256" s="73" t="s">
        <v>82</v>
      </c>
      <c r="E256" s="405">
        <f>16391.7</f>
        <v>16391.7</v>
      </c>
      <c r="H256" s="71" t="s">
        <v>2109</v>
      </c>
      <c r="I256" s="137"/>
    </row>
    <row r="257" spans="1:9">
      <c r="A257" s="4">
        <v>252</v>
      </c>
      <c r="B257" s="10" t="s">
        <v>355</v>
      </c>
      <c r="C257" s="304" t="s">
        <v>2239</v>
      </c>
      <c r="D257" s="73" t="s">
        <v>82</v>
      </c>
      <c r="E257" s="405">
        <v>4000</v>
      </c>
      <c r="H257" s="71" t="s">
        <v>2109</v>
      </c>
      <c r="I257" s="137"/>
    </row>
    <row r="258" spans="1:9">
      <c r="A258" s="4">
        <v>253</v>
      </c>
      <c r="B258" s="10" t="s">
        <v>356</v>
      </c>
      <c r="C258" s="304" t="s">
        <v>2240</v>
      </c>
      <c r="D258" s="73" t="s">
        <v>82</v>
      </c>
      <c r="E258" s="405">
        <v>4000</v>
      </c>
      <c r="H258" s="71" t="s">
        <v>2177</v>
      </c>
      <c r="I258" s="137"/>
    </row>
    <row r="259" spans="1:9">
      <c r="A259" s="4">
        <v>254</v>
      </c>
      <c r="B259" s="10" t="s">
        <v>357</v>
      </c>
      <c r="C259" s="304" t="s">
        <v>2241</v>
      </c>
      <c r="D259" s="73" t="s">
        <v>82</v>
      </c>
      <c r="E259" s="405">
        <v>4000</v>
      </c>
      <c r="H259" s="71" t="s">
        <v>2177</v>
      </c>
      <c r="I259" s="137"/>
    </row>
    <row r="260" spans="1:9">
      <c r="A260" s="4">
        <v>255</v>
      </c>
      <c r="B260" s="10" t="s">
        <v>358</v>
      </c>
      <c r="C260" s="304" t="s">
        <v>2242</v>
      </c>
      <c r="D260" s="73" t="s">
        <v>82</v>
      </c>
      <c r="E260" s="405">
        <f>72130.75</f>
        <v>72130.75</v>
      </c>
      <c r="H260" s="71" t="s">
        <v>2109</v>
      </c>
      <c r="I260" s="137"/>
    </row>
    <row r="261" spans="1:9">
      <c r="A261" s="4">
        <v>256</v>
      </c>
      <c r="B261" s="10" t="s">
        <v>359</v>
      </c>
      <c r="C261" s="304" t="s">
        <v>2243</v>
      </c>
      <c r="D261" s="73" t="s">
        <v>82</v>
      </c>
      <c r="E261" s="405">
        <f>55227.42</f>
        <v>55227.42</v>
      </c>
      <c r="H261" s="71" t="s">
        <v>2109</v>
      </c>
      <c r="I261" s="137"/>
    </row>
    <row r="262" spans="1:9">
      <c r="A262" s="4">
        <v>257</v>
      </c>
      <c r="B262" s="10" t="s">
        <v>360</v>
      </c>
      <c r="C262" s="304" t="s">
        <v>2244</v>
      </c>
      <c r="D262" s="73" t="s">
        <v>82</v>
      </c>
      <c r="E262" s="405">
        <f>52957.8</f>
        <v>52957.8</v>
      </c>
      <c r="H262" s="71" t="s">
        <v>2109</v>
      </c>
      <c r="I262" s="137"/>
    </row>
    <row r="263" spans="1:9">
      <c r="A263" s="4">
        <v>258</v>
      </c>
      <c r="B263" s="10" t="s">
        <v>361</v>
      </c>
      <c r="C263" s="304" t="s">
        <v>2245</v>
      </c>
      <c r="D263" s="73" t="s">
        <v>82</v>
      </c>
      <c r="E263" s="405">
        <f>29421</f>
        <v>29421</v>
      </c>
      <c r="H263" s="71" t="s">
        <v>2109</v>
      </c>
      <c r="I263" s="137"/>
    </row>
    <row r="264" spans="1:9">
      <c r="A264" s="4">
        <v>259</v>
      </c>
      <c r="B264" s="10" t="s">
        <v>362</v>
      </c>
      <c r="C264" s="304" t="s">
        <v>2246</v>
      </c>
      <c r="D264" s="73" t="s">
        <v>82</v>
      </c>
      <c r="E264" s="405">
        <f>29421</f>
        <v>29421</v>
      </c>
      <c r="H264" s="71" t="s">
        <v>2109</v>
      </c>
      <c r="I264" s="137"/>
    </row>
    <row r="265" spans="1:9">
      <c r="A265" s="4">
        <v>260</v>
      </c>
      <c r="B265" s="10" t="s">
        <v>363</v>
      </c>
      <c r="C265" s="304" t="s">
        <v>2247</v>
      </c>
      <c r="D265" s="73" t="s">
        <v>82</v>
      </c>
      <c r="E265" s="405">
        <f>17022.15</f>
        <v>17022.150000000001</v>
      </c>
      <c r="I265" s="137"/>
    </row>
    <row r="266" spans="1:9">
      <c r="A266" s="4">
        <v>261</v>
      </c>
      <c r="B266" s="10" t="s">
        <v>364</v>
      </c>
      <c r="C266" s="304" t="s">
        <v>2248</v>
      </c>
      <c r="D266" s="73" t="s">
        <v>82</v>
      </c>
      <c r="E266" s="405">
        <f>14878.62</f>
        <v>14878.62</v>
      </c>
      <c r="G266" s="74">
        <v>0</v>
      </c>
      <c r="I266" s="137"/>
    </row>
    <row r="267" spans="1:9">
      <c r="A267" s="4">
        <v>262</v>
      </c>
      <c r="B267" s="10" t="s">
        <v>365</v>
      </c>
      <c r="C267" s="76"/>
      <c r="D267" s="73" t="s">
        <v>82</v>
      </c>
      <c r="E267" s="74">
        <f t="shared" ref="E267:E327" si="4">+G267*$E$2*$E$3*$E$4</f>
        <v>0</v>
      </c>
      <c r="G267" s="74">
        <v>0</v>
      </c>
      <c r="I267" s="137"/>
    </row>
    <row r="268" spans="1:9">
      <c r="A268" s="4">
        <v>263</v>
      </c>
      <c r="B268" s="10" t="s">
        <v>366</v>
      </c>
      <c r="C268" s="76" t="s">
        <v>2233</v>
      </c>
      <c r="D268" s="73" t="s">
        <v>82</v>
      </c>
      <c r="E268" s="74">
        <v>1700</v>
      </c>
      <c r="G268" s="74">
        <v>0</v>
      </c>
      <c r="I268" s="137"/>
    </row>
    <row r="269" spans="1:9">
      <c r="A269" s="4">
        <v>264</v>
      </c>
      <c r="B269" s="10" t="s">
        <v>367</v>
      </c>
      <c r="C269" s="76" t="s">
        <v>2235</v>
      </c>
      <c r="D269" s="73" t="s">
        <v>82</v>
      </c>
      <c r="E269" s="74">
        <v>1700</v>
      </c>
      <c r="G269" s="74">
        <v>0</v>
      </c>
      <c r="I269" s="137"/>
    </row>
    <row r="270" spans="1:9" ht="15" customHeight="1">
      <c r="A270" s="4">
        <v>265</v>
      </c>
      <c r="B270" s="10" t="s">
        <v>368</v>
      </c>
      <c r="C270" s="76" t="s">
        <v>2236</v>
      </c>
      <c r="D270" s="73" t="s">
        <v>82</v>
      </c>
      <c r="E270" s="74">
        <v>1700</v>
      </c>
      <c r="G270" s="74">
        <v>0</v>
      </c>
      <c r="I270" s="137"/>
    </row>
    <row r="271" spans="1:9">
      <c r="A271" s="4">
        <v>266</v>
      </c>
      <c r="B271" s="10" t="s">
        <v>369</v>
      </c>
      <c r="C271" s="76"/>
      <c r="D271" s="73" t="s">
        <v>82</v>
      </c>
      <c r="E271" s="74">
        <f t="shared" si="4"/>
        <v>0</v>
      </c>
      <c r="G271" s="74">
        <v>0</v>
      </c>
      <c r="I271" s="137"/>
    </row>
    <row r="272" spans="1:9">
      <c r="A272" s="4">
        <v>267</v>
      </c>
      <c r="B272" s="10" t="s">
        <v>370</v>
      </c>
      <c r="C272" s="76"/>
      <c r="D272" s="73" t="s">
        <v>82</v>
      </c>
      <c r="E272" s="74">
        <f t="shared" si="4"/>
        <v>0</v>
      </c>
      <c r="G272" s="74">
        <v>0</v>
      </c>
      <c r="I272" s="137"/>
    </row>
    <row r="273" spans="1:9">
      <c r="A273" s="4">
        <v>268</v>
      </c>
      <c r="B273" s="10" t="s">
        <v>371</v>
      </c>
      <c r="C273" s="76"/>
      <c r="D273" s="73" t="s">
        <v>82</v>
      </c>
      <c r="E273" s="74">
        <f t="shared" si="4"/>
        <v>0</v>
      </c>
      <c r="G273" s="74">
        <v>0</v>
      </c>
      <c r="I273" s="137"/>
    </row>
    <row r="274" spans="1:9">
      <c r="A274" s="4">
        <v>269</v>
      </c>
      <c r="B274" s="10" t="s">
        <v>372</v>
      </c>
      <c r="C274" s="76"/>
      <c r="D274" s="73" t="s">
        <v>82</v>
      </c>
      <c r="E274" s="74">
        <f t="shared" si="4"/>
        <v>0</v>
      </c>
      <c r="G274" s="74">
        <v>0</v>
      </c>
      <c r="I274" s="137"/>
    </row>
    <row r="275" spans="1:9">
      <c r="A275" s="4">
        <v>270</v>
      </c>
      <c r="B275" s="10" t="s">
        <v>373</v>
      </c>
      <c r="C275" s="76"/>
      <c r="D275" s="73" t="s">
        <v>82</v>
      </c>
      <c r="E275" s="74">
        <f t="shared" si="4"/>
        <v>0</v>
      </c>
      <c r="G275" s="74">
        <v>0</v>
      </c>
      <c r="I275" s="137"/>
    </row>
    <row r="276" spans="1:9">
      <c r="A276" s="4">
        <v>271</v>
      </c>
      <c r="B276" s="10" t="s">
        <v>374</v>
      </c>
      <c r="C276" s="76"/>
      <c r="D276" s="73" t="s">
        <v>82</v>
      </c>
      <c r="E276" s="74">
        <f t="shared" si="4"/>
        <v>0</v>
      </c>
      <c r="G276" s="74">
        <v>0</v>
      </c>
      <c r="I276" s="137"/>
    </row>
    <row r="277" spans="1:9">
      <c r="A277" s="4">
        <v>272</v>
      </c>
      <c r="B277" s="10" t="s">
        <v>375</v>
      </c>
      <c r="C277" s="76"/>
      <c r="D277" s="73" t="s">
        <v>82</v>
      </c>
      <c r="E277" s="74">
        <f t="shared" si="4"/>
        <v>0</v>
      </c>
      <c r="G277" s="74">
        <v>0</v>
      </c>
      <c r="I277" s="137"/>
    </row>
    <row r="278" spans="1:9">
      <c r="A278" s="4">
        <v>273</v>
      </c>
      <c r="B278" s="10" t="s">
        <v>376</v>
      </c>
      <c r="C278" s="76" t="s">
        <v>2110</v>
      </c>
      <c r="D278" s="73" t="s">
        <v>82</v>
      </c>
      <c r="E278" s="74">
        <f t="shared" si="4"/>
        <v>0</v>
      </c>
      <c r="G278" s="74">
        <v>0</v>
      </c>
      <c r="I278" s="137"/>
    </row>
    <row r="279" spans="1:9">
      <c r="A279" s="4">
        <v>274</v>
      </c>
      <c r="B279" s="10" t="s">
        <v>377</v>
      </c>
      <c r="C279" s="76"/>
      <c r="E279" s="74">
        <f t="shared" si="4"/>
        <v>0</v>
      </c>
      <c r="G279" s="74">
        <v>0</v>
      </c>
      <c r="I279" s="137"/>
    </row>
    <row r="280" spans="1:9">
      <c r="A280" s="4">
        <v>275</v>
      </c>
      <c r="B280" s="10" t="s">
        <v>378</v>
      </c>
      <c r="C280" s="76"/>
      <c r="E280" s="74">
        <f t="shared" si="4"/>
        <v>0</v>
      </c>
      <c r="G280" s="74">
        <v>0</v>
      </c>
      <c r="I280" s="137"/>
    </row>
    <row r="281" spans="1:9">
      <c r="A281" s="4">
        <v>276</v>
      </c>
      <c r="B281" s="10" t="s">
        <v>379</v>
      </c>
      <c r="C281" s="76"/>
      <c r="E281" s="74">
        <f t="shared" si="4"/>
        <v>0</v>
      </c>
      <c r="G281" s="74">
        <v>0</v>
      </c>
      <c r="I281" s="137"/>
    </row>
    <row r="282" spans="1:9">
      <c r="A282" s="4">
        <v>277</v>
      </c>
      <c r="B282" s="10" t="s">
        <v>380</v>
      </c>
      <c r="C282" s="76"/>
      <c r="E282" s="74">
        <f t="shared" si="4"/>
        <v>0</v>
      </c>
      <c r="G282" s="74">
        <v>0</v>
      </c>
      <c r="I282" s="137"/>
    </row>
    <row r="283" spans="1:9">
      <c r="A283" s="4">
        <v>278</v>
      </c>
      <c r="B283" s="10" t="s">
        <v>381</v>
      </c>
      <c r="C283" s="76"/>
      <c r="E283" s="74">
        <f t="shared" si="4"/>
        <v>0</v>
      </c>
      <c r="G283" s="74">
        <v>0</v>
      </c>
      <c r="I283" s="137"/>
    </row>
    <row r="284" spans="1:9">
      <c r="A284" s="4">
        <v>279</v>
      </c>
      <c r="B284" s="10" t="s">
        <v>382</v>
      </c>
      <c r="C284" s="76"/>
      <c r="E284" s="74">
        <f t="shared" si="4"/>
        <v>0</v>
      </c>
      <c r="G284" s="74">
        <v>0</v>
      </c>
      <c r="I284" s="137"/>
    </row>
    <row r="285" spans="1:9">
      <c r="A285" s="4">
        <v>280</v>
      </c>
      <c r="B285" s="10" t="s">
        <v>383</v>
      </c>
      <c r="C285" s="76" t="s">
        <v>2111</v>
      </c>
      <c r="D285" s="73" t="s">
        <v>82</v>
      </c>
      <c r="E285" s="74">
        <f t="shared" si="4"/>
        <v>17355.371900826445</v>
      </c>
      <c r="G285" s="74">
        <f>21000/1.21</f>
        <v>17355.371900826445</v>
      </c>
      <c r="I285" s="137"/>
    </row>
    <row r="286" spans="1:9">
      <c r="A286" s="4">
        <v>281</v>
      </c>
      <c r="B286" s="10" t="s">
        <v>384</v>
      </c>
      <c r="C286" s="76" t="s">
        <v>2112</v>
      </c>
      <c r="D286" s="73" t="s">
        <v>82</v>
      </c>
      <c r="E286" s="74">
        <f t="shared" si="4"/>
        <v>24123.96694214876</v>
      </c>
      <c r="G286" s="74">
        <f>29190/1.21</f>
        <v>24123.96694214876</v>
      </c>
      <c r="I286" s="137"/>
    </row>
    <row r="287" spans="1:9">
      <c r="A287" s="4">
        <v>282</v>
      </c>
      <c r="B287" s="10" t="s">
        <v>385</v>
      </c>
      <c r="C287" s="76" t="s">
        <v>2113</v>
      </c>
      <c r="D287" s="73" t="s">
        <v>82</v>
      </c>
      <c r="E287" s="74">
        <f t="shared" si="4"/>
        <v>24702.479338842975</v>
      </c>
      <c r="G287" s="74">
        <f>29890/1.21</f>
        <v>24702.479338842975</v>
      </c>
      <c r="I287" s="137"/>
    </row>
    <row r="288" spans="1:9">
      <c r="A288" s="4">
        <v>283</v>
      </c>
      <c r="B288" s="10" t="s">
        <v>386</v>
      </c>
      <c r="C288" s="76" t="s">
        <v>2114</v>
      </c>
      <c r="D288" s="73" t="s">
        <v>82</v>
      </c>
      <c r="E288" s="74">
        <f t="shared" si="4"/>
        <v>15330.578512396694</v>
      </c>
      <c r="G288" s="74">
        <f>18550/1.21</f>
        <v>15330.578512396694</v>
      </c>
      <c r="I288" s="137"/>
    </row>
    <row r="289" spans="1:9">
      <c r="A289" s="4">
        <v>284</v>
      </c>
      <c r="B289" s="10" t="s">
        <v>387</v>
      </c>
      <c r="C289" s="71" t="s">
        <v>2115</v>
      </c>
      <c r="D289" s="73" t="s">
        <v>82</v>
      </c>
      <c r="E289" s="74">
        <f t="shared" si="4"/>
        <v>3471.0743801652893</v>
      </c>
      <c r="G289" s="74">
        <f>4200/1.21</f>
        <v>3471.0743801652893</v>
      </c>
      <c r="I289" s="137"/>
    </row>
    <row r="290" spans="1:9" ht="15" customHeight="1">
      <c r="A290" s="4">
        <v>285</v>
      </c>
      <c r="B290" s="10" t="s">
        <v>388</v>
      </c>
      <c r="C290" s="76" t="s">
        <v>2152</v>
      </c>
      <c r="D290" s="73" t="s">
        <v>1268</v>
      </c>
      <c r="E290" s="74">
        <f t="shared" si="4"/>
        <v>3950</v>
      </c>
      <c r="G290" s="74">
        <v>3950</v>
      </c>
      <c r="I290" s="137"/>
    </row>
    <row r="291" spans="1:9">
      <c r="A291" s="4">
        <v>286</v>
      </c>
      <c r="B291" s="10" t="s">
        <v>389</v>
      </c>
      <c r="C291" s="71" t="s">
        <v>2159</v>
      </c>
      <c r="D291" s="73" t="s">
        <v>94</v>
      </c>
      <c r="E291" s="74">
        <f t="shared" si="4"/>
        <v>200</v>
      </c>
      <c r="G291" s="74">
        <v>200</v>
      </c>
      <c r="I291" s="137"/>
    </row>
    <row r="292" spans="1:9">
      <c r="A292" s="4">
        <v>287</v>
      </c>
      <c r="B292" s="10" t="s">
        <v>390</v>
      </c>
      <c r="C292" s="71" t="s">
        <v>2160</v>
      </c>
      <c r="D292" s="73" t="s">
        <v>94</v>
      </c>
      <c r="E292" s="74">
        <f t="shared" si="4"/>
        <v>34710.74380165289</v>
      </c>
      <c r="G292" s="74">
        <f>42000/1.21</f>
        <v>34710.74380165289</v>
      </c>
      <c r="H292" s="71" t="s">
        <v>2161</v>
      </c>
      <c r="I292" s="137"/>
    </row>
    <row r="293" spans="1:9">
      <c r="A293" s="4">
        <v>288</v>
      </c>
      <c r="B293" s="10" t="s">
        <v>391</v>
      </c>
      <c r="E293" s="74">
        <f t="shared" si="4"/>
        <v>0</v>
      </c>
      <c r="G293" s="74">
        <v>0</v>
      </c>
      <c r="I293" s="137"/>
    </row>
    <row r="294" spans="1:9">
      <c r="A294" s="4">
        <v>289</v>
      </c>
      <c r="B294" s="10" t="s">
        <v>392</v>
      </c>
      <c r="E294" s="74">
        <f t="shared" si="4"/>
        <v>0</v>
      </c>
      <c r="G294" s="74">
        <v>0</v>
      </c>
      <c r="I294" s="137"/>
    </row>
    <row r="295" spans="1:9">
      <c r="A295" s="4">
        <v>290</v>
      </c>
      <c r="B295" s="10" t="s">
        <v>393</v>
      </c>
      <c r="E295" s="74">
        <f t="shared" si="4"/>
        <v>0</v>
      </c>
      <c r="G295" s="74">
        <v>0</v>
      </c>
      <c r="I295" s="137"/>
    </row>
    <row r="296" spans="1:9">
      <c r="A296" s="4">
        <v>291</v>
      </c>
      <c r="B296" s="10" t="s">
        <v>394</v>
      </c>
      <c r="E296" s="74">
        <f t="shared" si="4"/>
        <v>0</v>
      </c>
      <c r="G296" s="74">
        <v>0</v>
      </c>
      <c r="I296" s="137"/>
    </row>
    <row r="297" spans="1:9">
      <c r="A297" s="4">
        <v>292</v>
      </c>
      <c r="B297" s="10" t="s">
        <v>395</v>
      </c>
      <c r="E297" s="74">
        <f t="shared" si="4"/>
        <v>0</v>
      </c>
      <c r="G297" s="74">
        <v>0</v>
      </c>
      <c r="I297" s="137"/>
    </row>
    <row r="298" spans="1:9">
      <c r="A298" s="4">
        <v>293</v>
      </c>
      <c r="B298" s="10" t="s">
        <v>396</v>
      </c>
      <c r="E298" s="74">
        <f t="shared" si="4"/>
        <v>0</v>
      </c>
      <c r="G298" s="74">
        <v>0</v>
      </c>
      <c r="I298" s="137"/>
    </row>
    <row r="299" spans="1:9">
      <c r="A299" s="4">
        <v>294</v>
      </c>
      <c r="B299" s="10" t="s">
        <v>397</v>
      </c>
      <c r="E299" s="74">
        <f t="shared" si="4"/>
        <v>0</v>
      </c>
      <c r="G299" s="74">
        <v>0</v>
      </c>
      <c r="I299" s="137"/>
    </row>
    <row r="300" spans="1:9">
      <c r="A300" s="4">
        <v>295</v>
      </c>
      <c r="B300" s="10" t="s">
        <v>398</v>
      </c>
      <c r="E300" s="74">
        <f t="shared" si="4"/>
        <v>0</v>
      </c>
      <c r="G300" s="74">
        <v>0</v>
      </c>
      <c r="I300" s="137"/>
    </row>
    <row r="301" spans="1:9">
      <c r="A301" s="4">
        <v>296</v>
      </c>
      <c r="B301" s="10" t="s">
        <v>399</v>
      </c>
      <c r="E301" s="74">
        <f t="shared" si="4"/>
        <v>0</v>
      </c>
      <c r="G301" s="74">
        <v>0</v>
      </c>
      <c r="I301" s="137"/>
    </row>
    <row r="302" spans="1:9">
      <c r="A302" s="4">
        <v>297</v>
      </c>
      <c r="B302" s="10" t="s">
        <v>400</v>
      </c>
      <c r="E302" s="74">
        <f t="shared" si="4"/>
        <v>0</v>
      </c>
      <c r="G302" s="74">
        <v>0</v>
      </c>
      <c r="I302" s="137"/>
    </row>
    <row r="303" spans="1:9">
      <c r="A303" s="4">
        <v>298</v>
      </c>
      <c r="B303" s="10" t="s">
        <v>401</v>
      </c>
      <c r="E303" s="74">
        <f t="shared" si="4"/>
        <v>0</v>
      </c>
      <c r="G303" s="74">
        <v>0</v>
      </c>
      <c r="I303" s="137"/>
    </row>
    <row r="304" spans="1:9">
      <c r="A304" s="4">
        <v>299</v>
      </c>
      <c r="B304" s="10" t="s">
        <v>402</v>
      </c>
      <c r="E304" s="74">
        <f t="shared" si="4"/>
        <v>0</v>
      </c>
      <c r="G304" s="74">
        <v>0</v>
      </c>
      <c r="I304" s="137"/>
    </row>
    <row r="305" spans="1:11">
      <c r="A305" s="4">
        <v>300</v>
      </c>
      <c r="B305" s="10" t="s">
        <v>403</v>
      </c>
      <c r="C305" s="71" t="s">
        <v>2105</v>
      </c>
      <c r="D305" s="73" t="s">
        <v>1692</v>
      </c>
      <c r="E305" s="74">
        <f t="shared" si="4"/>
        <v>202.5</v>
      </c>
      <c r="G305" s="74">
        <f>150*1.35</f>
        <v>202.5</v>
      </c>
      <c r="H305" s="71" t="s">
        <v>1911</v>
      </c>
      <c r="I305" s="137">
        <v>42542</v>
      </c>
    </row>
    <row r="306" spans="1:11">
      <c r="A306" s="4">
        <v>301</v>
      </c>
      <c r="B306" s="10" t="s">
        <v>404</v>
      </c>
      <c r="C306" s="71" t="s">
        <v>1281</v>
      </c>
      <c r="D306" s="73" t="s">
        <v>82</v>
      </c>
      <c r="E306" s="74">
        <f t="shared" si="4"/>
        <v>3</v>
      </c>
      <c r="G306" s="183">
        <v>3</v>
      </c>
      <c r="I306" s="137"/>
      <c r="K306" s="71">
        <v>2.2000000000000002</v>
      </c>
    </row>
    <row r="307" spans="1:11">
      <c r="A307" s="4">
        <v>302</v>
      </c>
      <c r="B307" s="10" t="s">
        <v>405</v>
      </c>
      <c r="C307" s="71" t="s">
        <v>1282</v>
      </c>
      <c r="D307" s="73" t="s">
        <v>82</v>
      </c>
      <c r="E307" s="74">
        <f t="shared" si="4"/>
        <v>4.7</v>
      </c>
      <c r="G307" s="274">
        <v>4.7</v>
      </c>
      <c r="H307" s="71" t="s">
        <v>2434</v>
      </c>
      <c r="I307" s="137">
        <v>42646</v>
      </c>
    </row>
    <row r="308" spans="1:11">
      <c r="A308" s="4">
        <v>303</v>
      </c>
      <c r="B308" s="10" t="s">
        <v>406</v>
      </c>
      <c r="C308" s="71" t="s">
        <v>1965</v>
      </c>
      <c r="D308" s="73" t="s">
        <v>82</v>
      </c>
      <c r="E308" s="74">
        <f t="shared" si="4"/>
        <v>0</v>
      </c>
      <c r="G308" s="74">
        <v>0</v>
      </c>
      <c r="I308" s="137"/>
    </row>
    <row r="309" spans="1:11">
      <c r="A309" s="4">
        <v>304</v>
      </c>
      <c r="B309" s="10" t="s">
        <v>407</v>
      </c>
      <c r="C309" s="71" t="s">
        <v>1966</v>
      </c>
      <c r="D309" s="73" t="s">
        <v>82</v>
      </c>
      <c r="E309" s="74">
        <f t="shared" si="4"/>
        <v>0</v>
      </c>
      <c r="G309" s="74">
        <v>0</v>
      </c>
      <c r="I309" s="137"/>
    </row>
    <row r="310" spans="1:11" ht="15" customHeight="1">
      <c r="A310" s="4">
        <v>305</v>
      </c>
      <c r="B310" s="10" t="s">
        <v>408</v>
      </c>
      <c r="C310" s="76" t="s">
        <v>2104</v>
      </c>
      <c r="D310" s="73" t="s">
        <v>1692</v>
      </c>
      <c r="E310" s="74">
        <f t="shared" si="4"/>
        <v>184.95000000000002</v>
      </c>
      <c r="G310" s="74">
        <f>137*1.35</f>
        <v>184.95000000000002</v>
      </c>
      <c r="H310" s="71" t="s">
        <v>1911</v>
      </c>
      <c r="I310" s="137">
        <v>42542</v>
      </c>
    </row>
    <row r="311" spans="1:11">
      <c r="A311" s="4">
        <v>306</v>
      </c>
      <c r="B311" s="10" t="s">
        <v>409</v>
      </c>
      <c r="C311" s="76" t="s">
        <v>2106</v>
      </c>
      <c r="D311" s="73" t="s">
        <v>1692</v>
      </c>
      <c r="E311" s="74">
        <f t="shared" si="4"/>
        <v>203.85000000000002</v>
      </c>
      <c r="G311" s="74">
        <f>151*1.35</f>
        <v>203.85000000000002</v>
      </c>
      <c r="H311" s="71" t="s">
        <v>1911</v>
      </c>
      <c r="I311" s="137">
        <v>42542</v>
      </c>
    </row>
    <row r="312" spans="1:11">
      <c r="A312" s="4">
        <v>307</v>
      </c>
      <c r="B312" s="10" t="s">
        <v>410</v>
      </c>
      <c r="C312" s="76" t="s">
        <v>1910</v>
      </c>
      <c r="D312" s="73" t="s">
        <v>67</v>
      </c>
      <c r="E312" s="74">
        <f t="shared" si="4"/>
        <v>19.625</v>
      </c>
      <c r="G312" s="74">
        <f>15.7*1.25</f>
        <v>19.625</v>
      </c>
      <c r="H312" s="71" t="s">
        <v>1911</v>
      </c>
      <c r="I312" s="137">
        <v>42542</v>
      </c>
    </row>
    <row r="313" spans="1:11">
      <c r="A313" s="4">
        <v>308</v>
      </c>
      <c r="B313" s="10" t="s">
        <v>411</v>
      </c>
      <c r="C313" s="76" t="s">
        <v>2108</v>
      </c>
      <c r="D313" s="73" t="s">
        <v>2</v>
      </c>
      <c r="E313" s="74">
        <f t="shared" si="4"/>
        <v>126</v>
      </c>
      <c r="G313" s="74">
        <f>105*1.2</f>
        <v>126</v>
      </c>
      <c r="H313" s="71" t="s">
        <v>1911</v>
      </c>
      <c r="I313" s="137">
        <v>42542</v>
      </c>
    </row>
    <row r="314" spans="1:11">
      <c r="A314" s="4">
        <v>309</v>
      </c>
      <c r="B314" s="10" t="s">
        <v>412</v>
      </c>
      <c r="C314" s="76" t="s">
        <v>1967</v>
      </c>
      <c r="D314" s="73" t="s">
        <v>82</v>
      </c>
      <c r="E314" s="74">
        <f t="shared" si="4"/>
        <v>0</v>
      </c>
      <c r="G314" s="74">
        <v>0</v>
      </c>
      <c r="H314" s="71" t="s">
        <v>1904</v>
      </c>
      <c r="I314" s="137"/>
    </row>
    <row r="315" spans="1:11">
      <c r="A315" s="4">
        <v>310</v>
      </c>
      <c r="B315" s="10" t="s">
        <v>413</v>
      </c>
      <c r="C315" s="76" t="s">
        <v>1968</v>
      </c>
      <c r="D315" s="73" t="s">
        <v>82</v>
      </c>
      <c r="E315" s="74">
        <f t="shared" si="4"/>
        <v>0</v>
      </c>
      <c r="G315" s="74">
        <v>0</v>
      </c>
      <c r="H315" s="71" t="s">
        <v>1904</v>
      </c>
      <c r="I315" s="137"/>
    </row>
    <row r="316" spans="1:11">
      <c r="A316" s="4">
        <v>311</v>
      </c>
      <c r="B316" s="10" t="s">
        <v>414</v>
      </c>
      <c r="C316" s="76" t="s">
        <v>1969</v>
      </c>
      <c r="D316" s="73" t="s">
        <v>82</v>
      </c>
      <c r="E316" s="74">
        <f t="shared" si="4"/>
        <v>0</v>
      </c>
      <c r="G316" s="74">
        <v>0</v>
      </c>
      <c r="H316" s="71" t="s">
        <v>1904</v>
      </c>
      <c r="I316" s="137"/>
    </row>
    <row r="317" spans="1:11">
      <c r="A317" s="4">
        <v>312</v>
      </c>
      <c r="B317" s="10" t="s">
        <v>415</v>
      </c>
      <c r="C317" s="76" t="s">
        <v>1927</v>
      </c>
      <c r="D317" s="73" t="s">
        <v>1268</v>
      </c>
      <c r="E317" s="74">
        <f t="shared" si="4"/>
        <v>100</v>
      </c>
      <c r="G317" s="274">
        <v>100</v>
      </c>
      <c r="H317" s="71" t="s">
        <v>1928</v>
      </c>
      <c r="I317" s="137"/>
    </row>
    <row r="318" spans="1:11">
      <c r="A318" s="4">
        <v>313</v>
      </c>
      <c r="B318" s="10" t="s">
        <v>416</v>
      </c>
      <c r="C318" s="76" t="s">
        <v>1970</v>
      </c>
      <c r="D318" s="73" t="s">
        <v>1268</v>
      </c>
      <c r="E318" s="74">
        <f t="shared" si="4"/>
        <v>164</v>
      </c>
      <c r="G318" s="274">
        <v>164</v>
      </c>
      <c r="H318" s="71" t="s">
        <v>1904</v>
      </c>
      <c r="I318" s="137"/>
    </row>
    <row r="319" spans="1:11">
      <c r="A319" s="4">
        <v>314</v>
      </c>
      <c r="B319" s="10" t="s">
        <v>417</v>
      </c>
      <c r="C319" s="76" t="s">
        <v>1989</v>
      </c>
      <c r="D319" s="73" t="s">
        <v>1268</v>
      </c>
      <c r="E319" s="74">
        <f t="shared" si="4"/>
        <v>100</v>
      </c>
      <c r="G319" s="183">
        <v>100</v>
      </c>
      <c r="I319" s="137"/>
    </row>
    <row r="320" spans="1:11">
      <c r="A320" s="4">
        <v>315</v>
      </c>
      <c r="B320" s="10" t="s">
        <v>418</v>
      </c>
      <c r="C320" s="76" t="s">
        <v>2471</v>
      </c>
      <c r="D320" s="73" t="s">
        <v>1268</v>
      </c>
      <c r="E320" s="74">
        <f t="shared" si="4"/>
        <v>100</v>
      </c>
      <c r="G320" s="74">
        <v>100</v>
      </c>
      <c r="I320" s="137"/>
    </row>
    <row r="321" spans="1:9">
      <c r="A321" s="4">
        <v>316</v>
      </c>
      <c r="B321" s="10" t="s">
        <v>419</v>
      </c>
      <c r="C321" s="76" t="s">
        <v>2472</v>
      </c>
      <c r="D321" s="73" t="s">
        <v>2</v>
      </c>
      <c r="E321" s="74">
        <f t="shared" si="4"/>
        <v>235</v>
      </c>
      <c r="G321" s="74">
        <v>235</v>
      </c>
      <c r="I321" s="137"/>
    </row>
    <row r="322" spans="1:9">
      <c r="A322" s="4">
        <v>317</v>
      </c>
      <c r="B322" s="10" t="s">
        <v>420</v>
      </c>
      <c r="C322" s="76" t="s">
        <v>2486</v>
      </c>
      <c r="D322" s="73" t="s">
        <v>1269</v>
      </c>
      <c r="E322" s="74">
        <f t="shared" si="4"/>
        <v>2800</v>
      </c>
      <c r="G322" s="74">
        <v>2800</v>
      </c>
      <c r="I322" s="137"/>
    </row>
    <row r="323" spans="1:9">
      <c r="A323" s="4">
        <v>318</v>
      </c>
      <c r="B323" s="10" t="s">
        <v>421</v>
      </c>
      <c r="C323" s="76" t="s">
        <v>2488</v>
      </c>
      <c r="D323" s="73" t="s">
        <v>1269</v>
      </c>
      <c r="E323" s="74">
        <f t="shared" si="4"/>
        <v>3500</v>
      </c>
      <c r="G323" s="74">
        <v>3500</v>
      </c>
      <c r="I323" s="137"/>
    </row>
    <row r="324" spans="1:9">
      <c r="A324" s="4">
        <v>319</v>
      </c>
      <c r="B324" s="10" t="s">
        <v>422</v>
      </c>
      <c r="C324" s="76"/>
      <c r="E324" s="74">
        <f t="shared" si="4"/>
        <v>0</v>
      </c>
      <c r="G324" s="74">
        <v>0</v>
      </c>
      <c r="I324" s="137"/>
    </row>
    <row r="325" spans="1:9">
      <c r="A325" s="4">
        <v>320</v>
      </c>
      <c r="B325" s="10" t="s">
        <v>423</v>
      </c>
      <c r="C325" s="76"/>
      <c r="E325" s="74">
        <f t="shared" si="4"/>
        <v>0</v>
      </c>
      <c r="G325" s="74">
        <v>0</v>
      </c>
      <c r="I325" s="137"/>
    </row>
    <row r="326" spans="1:9">
      <c r="A326" s="4">
        <v>321</v>
      </c>
      <c r="B326" s="10" t="s">
        <v>424</v>
      </c>
      <c r="C326" s="76" t="s">
        <v>1971</v>
      </c>
      <c r="D326" s="73" t="s">
        <v>1679</v>
      </c>
      <c r="E326" s="74">
        <f t="shared" si="4"/>
        <v>9.5</v>
      </c>
      <c r="G326" s="274">
        <v>9.5</v>
      </c>
      <c r="H326" s="402" t="s">
        <v>2378</v>
      </c>
      <c r="I326" s="137"/>
    </row>
    <row r="327" spans="1:9">
      <c r="A327" s="4">
        <v>322</v>
      </c>
      <c r="B327" s="10" t="s">
        <v>425</v>
      </c>
      <c r="C327" s="76" t="s">
        <v>1972</v>
      </c>
      <c r="D327" s="73" t="s">
        <v>1268</v>
      </c>
      <c r="E327" s="74">
        <f t="shared" si="4"/>
        <v>34.876033057851245</v>
      </c>
      <c r="G327" s="274">
        <f>42.2/1.21</f>
        <v>34.876033057851245</v>
      </c>
      <c r="I327" s="137"/>
    </row>
    <row r="328" spans="1:9">
      <c r="A328" s="4">
        <v>323</v>
      </c>
      <c r="B328" s="10" t="s">
        <v>426</v>
      </c>
      <c r="C328" s="76"/>
      <c r="E328" s="74">
        <f t="shared" ref="E328:E391" si="5">+G328*$E$2*$E$3*$E$4</f>
        <v>0</v>
      </c>
      <c r="G328" s="74">
        <v>0</v>
      </c>
      <c r="I328" s="137"/>
    </row>
    <row r="329" spans="1:9">
      <c r="A329" s="4">
        <v>324</v>
      </c>
      <c r="B329" s="10" t="s">
        <v>427</v>
      </c>
      <c r="E329" s="74">
        <f t="shared" si="5"/>
        <v>0</v>
      </c>
      <c r="G329" s="74">
        <v>0</v>
      </c>
      <c r="I329" s="137"/>
    </row>
    <row r="330" spans="1:9" ht="15" customHeight="1">
      <c r="A330" s="4">
        <v>325</v>
      </c>
      <c r="B330" s="10" t="s">
        <v>428</v>
      </c>
      <c r="C330" s="76"/>
      <c r="E330" s="74">
        <f t="shared" si="5"/>
        <v>0</v>
      </c>
      <c r="G330" s="74">
        <v>0</v>
      </c>
      <c r="I330" s="137"/>
    </row>
    <row r="331" spans="1:9">
      <c r="A331" s="4">
        <v>326</v>
      </c>
      <c r="B331" s="10" t="s">
        <v>429</v>
      </c>
      <c r="E331" s="74">
        <f t="shared" si="5"/>
        <v>0</v>
      </c>
      <c r="G331" s="74">
        <v>0</v>
      </c>
      <c r="I331" s="137"/>
    </row>
    <row r="332" spans="1:9">
      <c r="A332" s="4">
        <v>327</v>
      </c>
      <c r="B332" s="10" t="s">
        <v>430</v>
      </c>
      <c r="E332" s="74">
        <f t="shared" si="5"/>
        <v>0</v>
      </c>
      <c r="G332" s="74">
        <v>0</v>
      </c>
      <c r="I332" s="137"/>
    </row>
    <row r="333" spans="1:9">
      <c r="A333" s="4">
        <v>328</v>
      </c>
      <c r="B333" s="10" t="s">
        <v>431</v>
      </c>
      <c r="E333" s="74">
        <f t="shared" si="5"/>
        <v>0</v>
      </c>
      <c r="G333" s="74">
        <v>0</v>
      </c>
      <c r="I333" s="137"/>
    </row>
    <row r="334" spans="1:9">
      <c r="A334" s="4">
        <v>329</v>
      </c>
      <c r="B334" s="10" t="s">
        <v>432</v>
      </c>
      <c r="E334" s="74">
        <f t="shared" si="5"/>
        <v>0</v>
      </c>
      <c r="G334" s="74">
        <v>0</v>
      </c>
      <c r="I334" s="137"/>
    </row>
    <row r="335" spans="1:9">
      <c r="A335" s="4">
        <v>330</v>
      </c>
      <c r="B335" s="10" t="s">
        <v>433</v>
      </c>
      <c r="E335" s="74">
        <f t="shared" si="5"/>
        <v>0</v>
      </c>
      <c r="G335" s="74">
        <v>0</v>
      </c>
      <c r="I335" s="137"/>
    </row>
    <row r="336" spans="1:9">
      <c r="A336" s="4">
        <v>331</v>
      </c>
      <c r="B336" s="10" t="s">
        <v>434</v>
      </c>
      <c r="E336" s="74">
        <f t="shared" si="5"/>
        <v>0</v>
      </c>
      <c r="G336" s="74">
        <v>0</v>
      </c>
      <c r="I336" s="137"/>
    </row>
    <row r="337" spans="1:9">
      <c r="A337" s="4">
        <v>332</v>
      </c>
      <c r="B337" s="10" t="s">
        <v>435</v>
      </c>
      <c r="E337" s="74">
        <f t="shared" si="5"/>
        <v>0</v>
      </c>
      <c r="G337" s="74">
        <v>0</v>
      </c>
      <c r="I337" s="137"/>
    </row>
    <row r="338" spans="1:9">
      <c r="A338" s="4">
        <v>333</v>
      </c>
      <c r="B338" s="10" t="s">
        <v>436</v>
      </c>
      <c r="E338" s="74">
        <f t="shared" si="5"/>
        <v>0</v>
      </c>
      <c r="G338" s="74">
        <v>0</v>
      </c>
      <c r="I338" s="137"/>
    </row>
    <row r="339" spans="1:9">
      <c r="A339" s="4">
        <v>334</v>
      </c>
      <c r="B339" s="10" t="s">
        <v>437</v>
      </c>
      <c r="E339" s="74">
        <f t="shared" si="5"/>
        <v>0</v>
      </c>
      <c r="G339" s="74">
        <v>0</v>
      </c>
      <c r="I339" s="137"/>
    </row>
    <row r="340" spans="1:9">
      <c r="A340" s="4">
        <v>335</v>
      </c>
      <c r="B340" s="10" t="s">
        <v>438</v>
      </c>
      <c r="E340" s="74">
        <f t="shared" si="5"/>
        <v>0</v>
      </c>
      <c r="G340" s="74">
        <v>0</v>
      </c>
      <c r="I340" s="137"/>
    </row>
    <row r="341" spans="1:9">
      <c r="A341" s="4">
        <v>336</v>
      </c>
      <c r="B341" s="10" t="s">
        <v>439</v>
      </c>
      <c r="E341" s="74">
        <f t="shared" si="5"/>
        <v>0</v>
      </c>
      <c r="G341" s="74">
        <v>0</v>
      </c>
      <c r="I341" s="137"/>
    </row>
    <row r="342" spans="1:9">
      <c r="A342" s="4">
        <v>337</v>
      </c>
      <c r="B342" s="10" t="s">
        <v>440</v>
      </c>
      <c r="E342" s="74">
        <f t="shared" si="5"/>
        <v>0</v>
      </c>
      <c r="G342" s="74">
        <v>0</v>
      </c>
      <c r="I342" s="137"/>
    </row>
    <row r="343" spans="1:9">
      <c r="A343" s="4">
        <v>338</v>
      </c>
      <c r="B343" s="10" t="s">
        <v>441</v>
      </c>
      <c r="E343" s="74">
        <f t="shared" si="5"/>
        <v>0</v>
      </c>
      <c r="G343" s="74">
        <v>0</v>
      </c>
      <c r="I343" s="137"/>
    </row>
    <row r="344" spans="1:9">
      <c r="A344" s="4">
        <v>339</v>
      </c>
      <c r="B344" s="10" t="s">
        <v>442</v>
      </c>
      <c r="E344" s="74">
        <f t="shared" si="5"/>
        <v>0</v>
      </c>
      <c r="G344" s="74">
        <v>0</v>
      </c>
      <c r="I344" s="137"/>
    </row>
    <row r="345" spans="1:9">
      <c r="A345" s="4">
        <v>340</v>
      </c>
      <c r="B345" s="10" t="s">
        <v>443</v>
      </c>
      <c r="E345" s="74">
        <f t="shared" si="5"/>
        <v>0</v>
      </c>
      <c r="G345" s="74">
        <v>0</v>
      </c>
      <c r="I345" s="137"/>
    </row>
    <row r="346" spans="1:9">
      <c r="A346" s="4">
        <v>341</v>
      </c>
      <c r="B346" s="10" t="s">
        <v>444</v>
      </c>
      <c r="E346" s="74">
        <f t="shared" si="5"/>
        <v>0</v>
      </c>
      <c r="G346" s="74">
        <v>0</v>
      </c>
      <c r="I346" s="137"/>
    </row>
    <row r="347" spans="1:9">
      <c r="A347" s="4">
        <v>342</v>
      </c>
      <c r="B347" s="10" t="s">
        <v>445</v>
      </c>
      <c r="E347" s="74">
        <f t="shared" si="5"/>
        <v>0</v>
      </c>
      <c r="G347" s="74">
        <v>0</v>
      </c>
      <c r="I347" s="137"/>
    </row>
    <row r="348" spans="1:9">
      <c r="A348" s="4">
        <v>343</v>
      </c>
      <c r="B348" s="10" t="s">
        <v>446</v>
      </c>
      <c r="E348" s="74">
        <f t="shared" si="5"/>
        <v>0</v>
      </c>
      <c r="G348" s="74">
        <v>0</v>
      </c>
      <c r="I348" s="137"/>
    </row>
    <row r="349" spans="1:9">
      <c r="A349" s="4">
        <v>344</v>
      </c>
      <c r="B349" s="10" t="s">
        <v>447</v>
      </c>
      <c r="E349" s="74">
        <f t="shared" si="5"/>
        <v>0</v>
      </c>
      <c r="G349" s="74">
        <v>0</v>
      </c>
      <c r="I349" s="137"/>
    </row>
    <row r="350" spans="1:9" ht="15" customHeight="1">
      <c r="A350" s="4">
        <v>345</v>
      </c>
      <c r="B350" s="10" t="s">
        <v>448</v>
      </c>
      <c r="C350" s="76"/>
      <c r="E350" s="74">
        <f t="shared" si="5"/>
        <v>0</v>
      </c>
      <c r="G350" s="74">
        <v>0</v>
      </c>
      <c r="I350" s="137"/>
    </row>
    <row r="351" spans="1:9">
      <c r="A351" s="4">
        <v>346</v>
      </c>
      <c r="B351" s="10" t="s">
        <v>449</v>
      </c>
      <c r="C351" s="76"/>
      <c r="E351" s="74">
        <f t="shared" si="5"/>
        <v>0</v>
      </c>
      <c r="G351" s="74">
        <v>0</v>
      </c>
      <c r="I351" s="137"/>
    </row>
    <row r="352" spans="1:9">
      <c r="A352" s="4">
        <v>347</v>
      </c>
      <c r="B352" s="10" t="s">
        <v>450</v>
      </c>
      <c r="C352" s="76"/>
      <c r="E352" s="74">
        <f t="shared" si="5"/>
        <v>0</v>
      </c>
      <c r="G352" s="74">
        <v>0</v>
      </c>
      <c r="I352" s="137"/>
    </row>
    <row r="353" spans="1:9">
      <c r="A353" s="4">
        <v>348</v>
      </c>
      <c r="B353" s="10" t="s">
        <v>451</v>
      </c>
      <c r="C353" s="76"/>
      <c r="E353" s="74">
        <f t="shared" si="5"/>
        <v>0</v>
      </c>
      <c r="G353" s="74">
        <v>0</v>
      </c>
      <c r="I353" s="137"/>
    </row>
    <row r="354" spans="1:9">
      <c r="A354" s="4">
        <v>349</v>
      </c>
      <c r="B354" s="10" t="s">
        <v>452</v>
      </c>
      <c r="C354" s="76" t="s">
        <v>1936</v>
      </c>
      <c r="E354" s="74">
        <f t="shared" si="5"/>
        <v>0</v>
      </c>
      <c r="G354" s="183">
        <v>0</v>
      </c>
      <c r="I354" s="137"/>
    </row>
    <row r="355" spans="1:9">
      <c r="A355" s="4">
        <v>350</v>
      </c>
      <c r="B355" s="10" t="s">
        <v>453</v>
      </c>
      <c r="C355" s="76" t="s">
        <v>1937</v>
      </c>
      <c r="D355" s="73" t="s">
        <v>1268</v>
      </c>
      <c r="E355" s="74">
        <f t="shared" si="5"/>
        <v>0</v>
      </c>
      <c r="G355" s="183">
        <v>0</v>
      </c>
      <c r="I355" s="137"/>
    </row>
    <row r="356" spans="1:9">
      <c r="A356" s="4">
        <v>352</v>
      </c>
      <c r="B356" s="10" t="s">
        <v>454</v>
      </c>
      <c r="C356" s="76" t="s">
        <v>1922</v>
      </c>
      <c r="D356" s="73" t="s">
        <v>1268</v>
      </c>
      <c r="E356" s="74">
        <f t="shared" si="5"/>
        <v>99.173553719008268</v>
      </c>
      <c r="G356" s="183">
        <f>120/1.21</f>
        <v>99.173553719008268</v>
      </c>
      <c r="H356" s="71" t="s">
        <v>2116</v>
      </c>
      <c r="I356" s="137">
        <v>42545</v>
      </c>
    </row>
    <row r="357" spans="1:9">
      <c r="A357" s="4">
        <v>353</v>
      </c>
      <c r="B357" s="10" t="s">
        <v>455</v>
      </c>
      <c r="C357" s="76" t="s">
        <v>1923</v>
      </c>
      <c r="D357" s="73" t="s">
        <v>1692</v>
      </c>
      <c r="E357" s="74">
        <f t="shared" si="5"/>
        <v>266</v>
      </c>
      <c r="G357" s="274">
        <v>266</v>
      </c>
      <c r="I357" s="137"/>
    </row>
    <row r="358" spans="1:9">
      <c r="A358" s="4">
        <v>354</v>
      </c>
      <c r="B358" s="10" t="s">
        <v>456</v>
      </c>
      <c r="C358" s="76" t="s">
        <v>1698</v>
      </c>
      <c r="D358" s="73" t="s">
        <v>1692</v>
      </c>
      <c r="E358" s="74">
        <f t="shared" si="5"/>
        <v>0</v>
      </c>
      <c r="G358" s="274">
        <v>0</v>
      </c>
      <c r="I358" s="137"/>
    </row>
    <row r="359" spans="1:9">
      <c r="A359" s="4">
        <v>355</v>
      </c>
      <c r="B359" s="10" t="s">
        <v>457</v>
      </c>
      <c r="C359" s="76" t="s">
        <v>1699</v>
      </c>
      <c r="D359" s="73" t="s">
        <v>1692</v>
      </c>
      <c r="E359" s="74">
        <f t="shared" si="5"/>
        <v>0</v>
      </c>
      <c r="G359" s="274">
        <v>0</v>
      </c>
      <c r="H359" s="71" t="s">
        <v>1710</v>
      </c>
      <c r="I359" s="137"/>
    </row>
    <row r="360" spans="1:9">
      <c r="A360" s="4">
        <v>356</v>
      </c>
      <c r="B360" s="10" t="s">
        <v>458</v>
      </c>
      <c r="C360" s="76" t="s">
        <v>1700</v>
      </c>
      <c r="D360" s="73" t="s">
        <v>1692</v>
      </c>
      <c r="E360" s="74">
        <f t="shared" si="5"/>
        <v>2480</v>
      </c>
      <c r="G360" s="183">
        <v>2480</v>
      </c>
      <c r="H360" s="71" t="s">
        <v>2118</v>
      </c>
      <c r="I360" s="137"/>
    </row>
    <row r="361" spans="1:9">
      <c r="A361" s="4">
        <v>357</v>
      </c>
      <c r="B361" s="10" t="s">
        <v>459</v>
      </c>
      <c r="C361" s="76" t="s">
        <v>1973</v>
      </c>
      <c r="D361" s="73" t="s">
        <v>82</v>
      </c>
      <c r="E361" s="74">
        <f t="shared" si="5"/>
        <v>350</v>
      </c>
      <c r="G361" s="74">
        <v>350</v>
      </c>
      <c r="H361" s="71" t="s">
        <v>2118</v>
      </c>
      <c r="I361" s="137"/>
    </row>
    <row r="362" spans="1:9">
      <c r="A362" s="4">
        <v>358</v>
      </c>
      <c r="B362" s="10" t="s">
        <v>460</v>
      </c>
      <c r="C362" s="76" t="s">
        <v>1974</v>
      </c>
      <c r="D362" s="73" t="s">
        <v>1692</v>
      </c>
      <c r="E362" s="74">
        <f t="shared" si="5"/>
        <v>0</v>
      </c>
      <c r="G362" s="274">
        <v>0</v>
      </c>
      <c r="I362" s="137"/>
    </row>
    <row r="363" spans="1:9">
      <c r="A363" s="4">
        <v>359</v>
      </c>
      <c r="B363" s="10" t="s">
        <v>461</v>
      </c>
      <c r="C363" s="76" t="s">
        <v>1975</v>
      </c>
      <c r="D363" s="73" t="s">
        <v>2</v>
      </c>
      <c r="E363" s="74">
        <f t="shared" si="5"/>
        <v>124</v>
      </c>
      <c r="G363" s="183">
        <f>2480*0.05</f>
        <v>124</v>
      </c>
      <c r="H363" s="71" t="s">
        <v>2118</v>
      </c>
      <c r="I363" s="137"/>
    </row>
    <row r="364" spans="1:9">
      <c r="A364" s="4">
        <v>360</v>
      </c>
      <c r="B364" s="10" t="s">
        <v>462</v>
      </c>
      <c r="C364" s="76" t="s">
        <v>1976</v>
      </c>
      <c r="D364" s="73" t="s">
        <v>1692</v>
      </c>
      <c r="E364" s="74">
        <f t="shared" si="5"/>
        <v>0</v>
      </c>
      <c r="G364" s="274">
        <v>0</v>
      </c>
      <c r="I364" s="137"/>
    </row>
    <row r="365" spans="1:9">
      <c r="A365" s="4">
        <v>361</v>
      </c>
      <c r="B365" s="10" t="s">
        <v>463</v>
      </c>
      <c r="C365" s="282" t="s">
        <v>1935</v>
      </c>
      <c r="D365" s="73" t="s">
        <v>1692</v>
      </c>
      <c r="E365" s="74">
        <f t="shared" si="5"/>
        <v>0</v>
      </c>
      <c r="G365" s="274">
        <v>0</v>
      </c>
      <c r="I365" s="137"/>
    </row>
    <row r="366" spans="1:9">
      <c r="A366" s="4">
        <v>362</v>
      </c>
      <c r="B366" s="10" t="s">
        <v>464</v>
      </c>
      <c r="C366" s="76" t="s">
        <v>2477</v>
      </c>
      <c r="D366" s="73" t="s">
        <v>94</v>
      </c>
      <c r="E366" s="74">
        <f t="shared" si="5"/>
        <v>21548.89</v>
      </c>
      <c r="G366" s="74">
        <v>21548.89</v>
      </c>
      <c r="I366" s="137"/>
    </row>
    <row r="367" spans="1:9">
      <c r="A367" s="4">
        <v>363</v>
      </c>
      <c r="B367" s="10" t="s">
        <v>465</v>
      </c>
      <c r="C367" s="76" t="s">
        <v>2478</v>
      </c>
      <c r="D367" s="73" t="s">
        <v>94</v>
      </c>
      <c r="E367" s="74">
        <f t="shared" si="5"/>
        <v>62808.130000000012</v>
      </c>
      <c r="G367" s="74">
        <v>62808.130000000012</v>
      </c>
      <c r="I367" s="137"/>
    </row>
    <row r="368" spans="1:9">
      <c r="A368" s="4">
        <v>364</v>
      </c>
      <c r="B368" s="10" t="s">
        <v>466</v>
      </c>
      <c r="C368" s="76" t="s">
        <v>2479</v>
      </c>
      <c r="D368" s="73" t="s">
        <v>94</v>
      </c>
      <c r="E368" s="74">
        <f t="shared" si="5"/>
        <v>27262.708000000002</v>
      </c>
      <c r="G368" s="229">
        <v>27262.708000000002</v>
      </c>
      <c r="I368" s="137"/>
    </row>
    <row r="369" spans="1:9" ht="15" customHeight="1">
      <c r="A369" s="4">
        <v>365</v>
      </c>
      <c r="B369" s="10" t="s">
        <v>467</v>
      </c>
      <c r="C369" s="76" t="s">
        <v>2480</v>
      </c>
      <c r="D369" s="73" t="s">
        <v>94</v>
      </c>
      <c r="E369" s="74">
        <f t="shared" si="5"/>
        <v>1291.0700000000002</v>
      </c>
      <c r="G369" s="74">
        <v>1291.0700000000002</v>
      </c>
      <c r="I369" s="137"/>
    </row>
    <row r="370" spans="1:9">
      <c r="A370" s="4">
        <v>366</v>
      </c>
      <c r="B370" s="10" t="s">
        <v>468</v>
      </c>
      <c r="C370" s="76" t="s">
        <v>2481</v>
      </c>
      <c r="D370" s="73" t="s">
        <v>94</v>
      </c>
      <c r="E370" s="74">
        <f t="shared" si="5"/>
        <v>10382.570000000002</v>
      </c>
      <c r="G370" s="74">
        <v>10382.570000000002</v>
      </c>
      <c r="I370" s="137"/>
    </row>
    <row r="371" spans="1:9">
      <c r="A371" s="4">
        <v>367</v>
      </c>
      <c r="B371" s="10" t="s">
        <v>469</v>
      </c>
      <c r="C371" s="76"/>
      <c r="E371" s="74">
        <f t="shared" si="5"/>
        <v>0</v>
      </c>
      <c r="G371" s="74">
        <v>0</v>
      </c>
      <c r="I371" s="137"/>
    </row>
    <row r="372" spans="1:9">
      <c r="A372" s="4">
        <v>368</v>
      </c>
      <c r="B372" s="10" t="s">
        <v>470</v>
      </c>
      <c r="C372" s="76" t="s">
        <v>1977</v>
      </c>
      <c r="D372" s="73" t="s">
        <v>94</v>
      </c>
      <c r="E372" s="74">
        <f t="shared" si="5"/>
        <v>0</v>
      </c>
      <c r="G372" s="74">
        <v>0</v>
      </c>
      <c r="I372" s="137"/>
    </row>
    <row r="373" spans="1:9">
      <c r="A373" s="4">
        <v>369</v>
      </c>
      <c r="B373" s="10" t="s">
        <v>471</v>
      </c>
      <c r="C373" s="76" t="s">
        <v>611</v>
      </c>
      <c r="D373" s="73" t="s">
        <v>94</v>
      </c>
      <c r="E373" s="74">
        <f t="shared" si="5"/>
        <v>0</v>
      </c>
      <c r="G373" s="74">
        <v>0</v>
      </c>
      <c r="I373" s="137"/>
    </row>
    <row r="374" spans="1:9">
      <c r="A374" s="4">
        <v>370</v>
      </c>
      <c r="B374" s="10" t="s">
        <v>472</v>
      </c>
      <c r="C374" s="76" t="s">
        <v>2153</v>
      </c>
      <c r="D374" s="73" t="s">
        <v>1722</v>
      </c>
      <c r="E374" s="74">
        <f t="shared" si="5"/>
        <v>1160</v>
      </c>
      <c r="G374" s="74">
        <v>1160</v>
      </c>
      <c r="I374" s="137"/>
    </row>
    <row r="375" spans="1:9">
      <c r="A375" s="4">
        <v>371</v>
      </c>
      <c r="B375" s="10" t="s">
        <v>473</v>
      </c>
      <c r="C375" s="76" t="s">
        <v>2179</v>
      </c>
      <c r="D375" s="73" t="s">
        <v>1722</v>
      </c>
      <c r="E375" s="74">
        <f t="shared" si="5"/>
        <v>0</v>
      </c>
      <c r="G375" s="74">
        <v>0</v>
      </c>
      <c r="I375" s="137"/>
    </row>
    <row r="376" spans="1:9">
      <c r="A376" s="4">
        <v>372</v>
      </c>
      <c r="B376" s="10" t="s">
        <v>474</v>
      </c>
      <c r="C376" s="76" t="s">
        <v>2490</v>
      </c>
      <c r="D376" s="73" t="s">
        <v>1722</v>
      </c>
      <c r="E376" s="74">
        <f t="shared" si="5"/>
        <v>550</v>
      </c>
      <c r="G376" s="74">
        <v>550</v>
      </c>
      <c r="I376" s="137"/>
    </row>
    <row r="377" spans="1:9">
      <c r="A377" s="4">
        <v>373</v>
      </c>
      <c r="B377" s="10" t="s">
        <v>475</v>
      </c>
      <c r="C377" s="76" t="s">
        <v>2491</v>
      </c>
      <c r="D377" s="73" t="s">
        <v>1722</v>
      </c>
      <c r="E377" s="74">
        <f t="shared" si="5"/>
        <v>620</v>
      </c>
      <c r="G377" s="74">
        <v>620</v>
      </c>
      <c r="I377" s="137"/>
    </row>
    <row r="378" spans="1:9">
      <c r="A378" s="4">
        <v>374</v>
      </c>
      <c r="B378" s="10" t="s">
        <v>476</v>
      </c>
      <c r="C378" s="76" t="s">
        <v>2155</v>
      </c>
      <c r="D378" s="73" t="s">
        <v>1722</v>
      </c>
      <c r="E378" s="74">
        <f t="shared" si="5"/>
        <v>34</v>
      </c>
      <c r="G378" s="74">
        <v>34</v>
      </c>
      <c r="I378" s="137"/>
    </row>
    <row r="379" spans="1:9">
      <c r="A379" s="4">
        <v>375</v>
      </c>
      <c r="B379" s="10" t="s">
        <v>477</v>
      </c>
      <c r="C379" s="76" t="s">
        <v>2157</v>
      </c>
      <c r="D379" s="73" t="s">
        <v>1722</v>
      </c>
      <c r="E379" s="74">
        <f t="shared" si="5"/>
        <v>540</v>
      </c>
      <c r="G379" s="74">
        <v>540</v>
      </c>
      <c r="I379" s="137"/>
    </row>
    <row r="380" spans="1:9">
      <c r="A380" s="4">
        <v>376</v>
      </c>
      <c r="B380" s="10" t="s">
        <v>478</v>
      </c>
      <c r="C380" s="76" t="s">
        <v>2180</v>
      </c>
      <c r="D380" s="73" t="s">
        <v>1722</v>
      </c>
      <c r="E380" s="74">
        <f t="shared" si="5"/>
        <v>500</v>
      </c>
      <c r="F380" s="88"/>
      <c r="G380" s="74">
        <v>500</v>
      </c>
      <c r="I380" s="137"/>
    </row>
    <row r="381" spans="1:9">
      <c r="A381" s="4">
        <v>377</v>
      </c>
      <c r="B381" s="10" t="s">
        <v>479</v>
      </c>
      <c r="C381" s="76"/>
      <c r="E381" s="74">
        <f t="shared" si="5"/>
        <v>0</v>
      </c>
      <c r="G381" s="74">
        <v>0</v>
      </c>
      <c r="I381" s="137"/>
    </row>
    <row r="382" spans="1:9">
      <c r="A382" s="4">
        <v>378</v>
      </c>
      <c r="B382" s="10" t="s">
        <v>480</v>
      </c>
      <c r="C382" s="76"/>
      <c r="E382" s="74">
        <f t="shared" si="5"/>
        <v>0</v>
      </c>
      <c r="G382" s="74">
        <v>0</v>
      </c>
      <c r="I382" s="137"/>
    </row>
    <row r="383" spans="1:9">
      <c r="A383" s="4">
        <v>379</v>
      </c>
      <c r="B383" s="10" t="s">
        <v>481</v>
      </c>
      <c r="C383" s="76" t="s">
        <v>2144</v>
      </c>
      <c r="D383" s="73" t="s">
        <v>94</v>
      </c>
      <c r="E383" s="74">
        <f t="shared" si="5"/>
        <v>23876.55</v>
      </c>
      <c r="G383" s="74">
        <v>23876.55</v>
      </c>
      <c r="I383" s="137"/>
    </row>
    <row r="384" spans="1:9">
      <c r="A384" s="4">
        <v>380</v>
      </c>
      <c r="B384" s="10" t="s">
        <v>482</v>
      </c>
      <c r="C384" s="76" t="s">
        <v>2143</v>
      </c>
      <c r="D384" s="73" t="s">
        <v>94</v>
      </c>
      <c r="E384" s="74">
        <f t="shared" si="5"/>
        <v>3668.5</v>
      </c>
      <c r="G384" s="74">
        <v>3668.5</v>
      </c>
      <c r="I384" s="137"/>
    </row>
    <row r="385" spans="1:9">
      <c r="A385" s="4">
        <v>381</v>
      </c>
      <c r="B385" s="10" t="s">
        <v>483</v>
      </c>
      <c r="C385" s="76" t="s">
        <v>2145</v>
      </c>
      <c r="D385" s="73" t="s">
        <v>94</v>
      </c>
      <c r="E385" s="74">
        <f t="shared" si="5"/>
        <v>14970</v>
      </c>
      <c r="G385" s="74">
        <v>14970</v>
      </c>
      <c r="I385" s="137"/>
    </row>
    <row r="386" spans="1:9">
      <c r="A386" s="4">
        <v>382</v>
      </c>
      <c r="B386" s="10" t="s">
        <v>484</v>
      </c>
      <c r="C386" s="76" t="s">
        <v>2146</v>
      </c>
      <c r="D386" s="73" t="s">
        <v>94</v>
      </c>
      <c r="E386" s="74">
        <f t="shared" si="5"/>
        <v>3608</v>
      </c>
      <c r="G386" s="74">
        <v>3608</v>
      </c>
      <c r="I386" s="137"/>
    </row>
    <row r="387" spans="1:9">
      <c r="A387" s="4">
        <v>383</v>
      </c>
      <c r="B387" s="10" t="s">
        <v>485</v>
      </c>
      <c r="C387" s="76" t="s">
        <v>2147</v>
      </c>
      <c r="D387" s="73" t="s">
        <v>94</v>
      </c>
      <c r="E387" s="74">
        <f t="shared" si="5"/>
        <v>6270</v>
      </c>
      <c r="G387" s="74">
        <v>6270</v>
      </c>
      <c r="I387" s="137"/>
    </row>
    <row r="388" spans="1:9">
      <c r="A388" s="4">
        <v>384</v>
      </c>
      <c r="B388" s="10" t="s">
        <v>486</v>
      </c>
      <c r="C388" s="71" t="s">
        <v>2148</v>
      </c>
      <c r="D388" s="73" t="s">
        <v>94</v>
      </c>
      <c r="E388" s="74">
        <f t="shared" si="5"/>
        <v>2500</v>
      </c>
      <c r="G388" s="74">
        <v>2500</v>
      </c>
      <c r="I388" s="137"/>
    </row>
    <row r="389" spans="1:9" ht="15" customHeight="1">
      <c r="A389" s="4">
        <v>385</v>
      </c>
      <c r="B389" s="10" t="s">
        <v>487</v>
      </c>
      <c r="C389" s="76" t="s">
        <v>1994</v>
      </c>
      <c r="D389" s="73" t="s">
        <v>94</v>
      </c>
      <c r="E389" s="74">
        <f t="shared" si="5"/>
        <v>52555</v>
      </c>
      <c r="G389" s="74">
        <v>52555</v>
      </c>
      <c r="I389" s="137"/>
    </row>
    <row r="390" spans="1:9">
      <c r="A390" s="4">
        <v>386</v>
      </c>
      <c r="B390" s="10" t="s">
        <v>488</v>
      </c>
      <c r="C390" s="76" t="s">
        <v>2149</v>
      </c>
      <c r="D390" s="73" t="s">
        <v>94</v>
      </c>
      <c r="E390" s="74">
        <f t="shared" si="5"/>
        <v>198000</v>
      </c>
      <c r="G390" s="74">
        <v>198000</v>
      </c>
      <c r="I390" s="137"/>
    </row>
    <row r="391" spans="1:9">
      <c r="A391" s="4">
        <v>387</v>
      </c>
      <c r="B391" s="10" t="s">
        <v>489</v>
      </c>
      <c r="C391" s="76" t="s">
        <v>2525</v>
      </c>
      <c r="D391" s="73" t="s">
        <v>82</v>
      </c>
      <c r="E391" s="74">
        <f t="shared" si="5"/>
        <v>1050</v>
      </c>
      <c r="G391" s="74">
        <v>1050</v>
      </c>
      <c r="I391" s="137"/>
    </row>
    <row r="392" spans="1:9">
      <c r="A392" s="4">
        <v>388</v>
      </c>
      <c r="B392" s="10" t="s">
        <v>490</v>
      </c>
      <c r="C392" s="76"/>
      <c r="E392" s="74">
        <f t="shared" ref="E392:E455" si="6">+G392*$E$2*$E$3*$E$4</f>
        <v>0</v>
      </c>
      <c r="G392" s="74">
        <v>0</v>
      </c>
      <c r="I392" s="137"/>
    </row>
    <row r="393" spans="1:9">
      <c r="A393" s="4">
        <v>389</v>
      </c>
      <c r="B393" s="10" t="s">
        <v>491</v>
      </c>
      <c r="C393" s="76"/>
      <c r="E393" s="74">
        <f t="shared" si="6"/>
        <v>0</v>
      </c>
      <c r="G393" s="74">
        <v>0</v>
      </c>
      <c r="I393" s="137"/>
    </row>
    <row r="394" spans="1:9">
      <c r="A394" s="4">
        <v>390</v>
      </c>
      <c r="B394" s="10" t="s">
        <v>492</v>
      </c>
      <c r="C394" s="76"/>
      <c r="E394" s="74">
        <f t="shared" si="6"/>
        <v>0</v>
      </c>
      <c r="G394" s="74">
        <v>0</v>
      </c>
      <c r="I394" s="137"/>
    </row>
    <row r="395" spans="1:9">
      <c r="A395" s="4">
        <v>391</v>
      </c>
      <c r="B395" s="10" t="s">
        <v>493</v>
      </c>
      <c r="C395" s="76"/>
      <c r="E395" s="74">
        <f t="shared" si="6"/>
        <v>0</v>
      </c>
      <c r="G395" s="74">
        <v>0</v>
      </c>
      <c r="I395" s="137"/>
    </row>
    <row r="396" spans="1:9">
      <c r="A396" s="4">
        <v>392</v>
      </c>
      <c r="B396" s="10" t="s">
        <v>494</v>
      </c>
      <c r="C396" s="76"/>
      <c r="E396" s="74">
        <f t="shared" si="6"/>
        <v>0</v>
      </c>
      <c r="G396" s="74">
        <v>0</v>
      </c>
      <c r="I396" s="137"/>
    </row>
    <row r="397" spans="1:9">
      <c r="A397" s="4">
        <v>393</v>
      </c>
      <c r="B397" s="10" t="s">
        <v>495</v>
      </c>
      <c r="C397" s="76"/>
      <c r="E397" s="74">
        <f t="shared" si="6"/>
        <v>0</v>
      </c>
      <c r="G397" s="74">
        <v>0</v>
      </c>
      <c r="I397" s="137"/>
    </row>
    <row r="398" spans="1:9">
      <c r="A398" s="4">
        <v>394</v>
      </c>
      <c r="B398" s="10" t="s">
        <v>496</v>
      </c>
      <c r="C398" s="76"/>
      <c r="E398" s="74">
        <f t="shared" si="6"/>
        <v>0</v>
      </c>
      <c r="G398" s="74">
        <v>0</v>
      </c>
      <c r="I398" s="137"/>
    </row>
    <row r="399" spans="1:9">
      <c r="A399" s="4">
        <v>395</v>
      </c>
      <c r="B399" s="10" t="s">
        <v>497</v>
      </c>
      <c r="C399" s="76"/>
      <c r="E399" s="74">
        <f t="shared" si="6"/>
        <v>0</v>
      </c>
      <c r="G399" s="74">
        <v>0</v>
      </c>
      <c r="I399" s="137"/>
    </row>
    <row r="400" spans="1:9">
      <c r="A400" s="4">
        <v>396</v>
      </c>
      <c r="B400" s="10" t="s">
        <v>498</v>
      </c>
      <c r="C400" s="76"/>
      <c r="E400" s="74">
        <f t="shared" si="6"/>
        <v>0</v>
      </c>
      <c r="G400" s="74">
        <v>0</v>
      </c>
      <c r="I400" s="137"/>
    </row>
    <row r="401" spans="1:9">
      <c r="A401" s="4">
        <v>397</v>
      </c>
      <c r="B401" s="10" t="s">
        <v>499</v>
      </c>
      <c r="C401" s="76"/>
      <c r="E401" s="74">
        <f t="shared" si="6"/>
        <v>0</v>
      </c>
      <c r="G401" s="74">
        <v>0</v>
      </c>
      <c r="I401" s="137"/>
    </row>
    <row r="402" spans="1:9">
      <c r="A402" s="4">
        <v>398</v>
      </c>
      <c r="B402" s="10" t="s">
        <v>500</v>
      </c>
      <c r="C402" s="76"/>
      <c r="E402" s="74">
        <f t="shared" si="6"/>
        <v>0</v>
      </c>
      <c r="G402" s="74">
        <v>0</v>
      </c>
      <c r="I402" s="137"/>
    </row>
    <row r="403" spans="1:9">
      <c r="A403" s="4">
        <v>399</v>
      </c>
      <c r="B403" s="10" t="s">
        <v>501</v>
      </c>
      <c r="C403" s="76"/>
      <c r="E403" s="74">
        <f t="shared" si="6"/>
        <v>0</v>
      </c>
      <c r="G403" s="74">
        <v>0</v>
      </c>
      <c r="I403" s="137"/>
    </row>
    <row r="404" spans="1:9">
      <c r="A404" s="4">
        <v>400</v>
      </c>
      <c r="B404" s="10" t="s">
        <v>502</v>
      </c>
      <c r="C404" s="76" t="s">
        <v>2053</v>
      </c>
      <c r="D404" s="73" t="s">
        <v>82</v>
      </c>
      <c r="E404" s="74">
        <f t="shared" si="6"/>
        <v>6424.5069000000003</v>
      </c>
      <c r="G404" s="74">
        <f>7931.49*0.9*0.9</f>
        <v>6424.5069000000003</v>
      </c>
      <c r="H404" s="71" t="s">
        <v>2071</v>
      </c>
      <c r="I404" s="137" t="s">
        <v>2070</v>
      </c>
    </row>
    <row r="405" spans="1:9">
      <c r="A405" s="4">
        <v>401</v>
      </c>
      <c r="B405" s="10" t="s">
        <v>1283</v>
      </c>
      <c r="C405" s="76" t="s">
        <v>2054</v>
      </c>
      <c r="D405" s="73" t="s">
        <v>82</v>
      </c>
      <c r="E405" s="74">
        <f t="shared" si="6"/>
        <v>7309.3427999999994</v>
      </c>
      <c r="G405" s="74">
        <f>9023.88*0.9*0.9</f>
        <v>7309.3427999999994</v>
      </c>
      <c r="I405" s="137" t="s">
        <v>2070</v>
      </c>
    </row>
    <row r="406" spans="1:9">
      <c r="A406" s="4">
        <v>402</v>
      </c>
      <c r="B406" s="10" t="s">
        <v>1284</v>
      </c>
      <c r="C406" s="76" t="s">
        <v>2055</v>
      </c>
      <c r="D406" s="73" t="s">
        <v>82</v>
      </c>
      <c r="E406" s="74">
        <f t="shared" si="6"/>
        <v>10839.8655</v>
      </c>
      <c r="G406" s="74">
        <f>13382.55*0.9*0.9</f>
        <v>10839.8655</v>
      </c>
      <c r="I406" s="137" t="s">
        <v>2070</v>
      </c>
    </row>
    <row r="407" spans="1:9">
      <c r="A407" s="4">
        <v>403</v>
      </c>
      <c r="B407" s="10" t="s">
        <v>1285</v>
      </c>
      <c r="C407" s="76" t="s">
        <v>2056</v>
      </c>
      <c r="D407" s="73" t="s">
        <v>82</v>
      </c>
      <c r="E407" s="74">
        <f t="shared" si="6"/>
        <v>13217.701499999999</v>
      </c>
      <c r="G407" s="74">
        <f>16318.15*0.9*0.9</f>
        <v>13217.701499999999</v>
      </c>
      <c r="I407" s="137" t="s">
        <v>2070</v>
      </c>
    </row>
    <row r="408" spans="1:9">
      <c r="A408" s="4">
        <v>404</v>
      </c>
      <c r="B408" s="10" t="s">
        <v>1286</v>
      </c>
      <c r="C408" s="76" t="s">
        <v>2057</v>
      </c>
      <c r="D408" s="73" t="s">
        <v>82</v>
      </c>
      <c r="E408" s="74">
        <f t="shared" si="6"/>
        <v>19747.613700000002</v>
      </c>
      <c r="G408" s="74">
        <f>24379.77*0.9*0.9</f>
        <v>19747.613700000002</v>
      </c>
      <c r="I408" s="137" t="s">
        <v>2070</v>
      </c>
    </row>
    <row r="409" spans="1:9">
      <c r="A409" s="4">
        <v>405</v>
      </c>
      <c r="B409" s="10" t="s">
        <v>1287</v>
      </c>
      <c r="C409" s="76" t="s">
        <v>2058</v>
      </c>
      <c r="D409" s="73" t="s">
        <v>2</v>
      </c>
      <c r="E409" s="74">
        <f t="shared" si="6"/>
        <v>19</v>
      </c>
      <c r="G409" s="74">
        <v>19</v>
      </c>
      <c r="I409" s="137"/>
    </row>
    <row r="410" spans="1:9">
      <c r="A410" s="4">
        <v>406</v>
      </c>
      <c r="B410" s="10" t="s">
        <v>1288</v>
      </c>
      <c r="C410" s="76" t="s">
        <v>2059</v>
      </c>
      <c r="D410" s="73" t="s">
        <v>82</v>
      </c>
      <c r="E410" s="74">
        <f t="shared" si="6"/>
        <v>70</v>
      </c>
      <c r="G410" s="74">
        <v>70</v>
      </c>
      <c r="I410" s="137"/>
    </row>
    <row r="411" spans="1:9">
      <c r="A411" s="4">
        <v>407</v>
      </c>
      <c r="B411" s="10" t="s">
        <v>1289</v>
      </c>
      <c r="C411" s="76" t="s">
        <v>2060</v>
      </c>
      <c r="D411" s="73" t="s">
        <v>2</v>
      </c>
      <c r="E411" s="74">
        <f t="shared" si="6"/>
        <v>8</v>
      </c>
      <c r="G411" s="74">
        <v>8</v>
      </c>
      <c r="I411" s="137"/>
    </row>
    <row r="412" spans="1:9">
      <c r="A412" s="4">
        <v>408</v>
      </c>
      <c r="B412" s="10" t="s">
        <v>1290</v>
      </c>
      <c r="C412" s="76" t="s">
        <v>2061</v>
      </c>
      <c r="D412" s="73" t="s">
        <v>2</v>
      </c>
      <c r="E412" s="74">
        <f t="shared" si="6"/>
        <v>284</v>
      </c>
      <c r="G412" s="74">
        <v>284</v>
      </c>
      <c r="I412" s="137" t="s">
        <v>2070</v>
      </c>
    </row>
    <row r="413" spans="1:9">
      <c r="A413" s="4">
        <v>409</v>
      </c>
      <c r="B413" s="10" t="s">
        <v>1291</v>
      </c>
      <c r="C413" s="76" t="s">
        <v>2062</v>
      </c>
      <c r="D413" s="73" t="s">
        <v>2</v>
      </c>
      <c r="E413" s="74">
        <f t="shared" si="6"/>
        <v>340</v>
      </c>
      <c r="G413" s="74">
        <v>340</v>
      </c>
      <c r="I413" s="137" t="s">
        <v>2070</v>
      </c>
    </row>
    <row r="414" spans="1:9">
      <c r="A414" s="4">
        <v>410</v>
      </c>
      <c r="B414" s="10" t="s">
        <v>1292</v>
      </c>
      <c r="C414" s="76" t="s">
        <v>2063</v>
      </c>
      <c r="D414" s="73" t="s">
        <v>2</v>
      </c>
      <c r="E414" s="74">
        <f t="shared" si="6"/>
        <v>414</v>
      </c>
      <c r="G414" s="74">
        <v>414</v>
      </c>
      <c r="I414" s="137" t="s">
        <v>2070</v>
      </c>
    </row>
    <row r="415" spans="1:9">
      <c r="A415" s="4">
        <v>411</v>
      </c>
      <c r="B415" s="10" t="s">
        <v>1293</v>
      </c>
      <c r="C415" s="76"/>
      <c r="E415" s="74">
        <f t="shared" si="6"/>
        <v>0</v>
      </c>
      <c r="G415" s="74">
        <v>0</v>
      </c>
      <c r="I415" s="137"/>
    </row>
    <row r="416" spans="1:9">
      <c r="A416" s="4">
        <v>412</v>
      </c>
      <c r="B416" s="10" t="s">
        <v>1294</v>
      </c>
      <c r="C416" s="76" t="s">
        <v>2120</v>
      </c>
      <c r="D416" s="73" t="s">
        <v>2</v>
      </c>
      <c r="E416" s="74">
        <f t="shared" si="6"/>
        <v>40</v>
      </c>
      <c r="G416" s="74">
        <v>40</v>
      </c>
      <c r="I416" s="137"/>
    </row>
    <row r="417" spans="1:9">
      <c r="A417" s="4">
        <v>413</v>
      </c>
      <c r="B417" s="10" t="s">
        <v>1295</v>
      </c>
      <c r="C417" s="76" t="s">
        <v>2121</v>
      </c>
      <c r="D417" s="73" t="s">
        <v>2</v>
      </c>
      <c r="E417" s="74">
        <f t="shared" si="6"/>
        <v>50</v>
      </c>
      <c r="G417" s="74">
        <v>50</v>
      </c>
      <c r="I417" s="137"/>
    </row>
    <row r="418" spans="1:9">
      <c r="A418" s="4">
        <v>414</v>
      </c>
      <c r="B418" s="10" t="s">
        <v>1296</v>
      </c>
      <c r="C418" s="76" t="s">
        <v>2122</v>
      </c>
      <c r="D418" s="73" t="s">
        <v>2</v>
      </c>
      <c r="E418" s="74">
        <f t="shared" si="6"/>
        <v>75</v>
      </c>
      <c r="G418" s="74">
        <v>75</v>
      </c>
      <c r="I418" s="137"/>
    </row>
    <row r="419" spans="1:9">
      <c r="A419" s="4">
        <v>415</v>
      </c>
      <c r="B419" s="10" t="s">
        <v>1297</v>
      </c>
      <c r="C419" s="76" t="s">
        <v>2123</v>
      </c>
      <c r="D419" s="73" t="s">
        <v>1722</v>
      </c>
      <c r="E419" s="74">
        <f t="shared" si="6"/>
        <v>14.52</v>
      </c>
      <c r="G419" s="74">
        <v>14.52</v>
      </c>
      <c r="I419" s="137"/>
    </row>
    <row r="420" spans="1:9">
      <c r="A420" s="4">
        <v>416</v>
      </c>
      <c r="B420" s="10" t="s">
        <v>1298</v>
      </c>
      <c r="C420" s="76" t="s">
        <v>2124</v>
      </c>
      <c r="D420" s="73" t="s">
        <v>1722</v>
      </c>
      <c r="E420" s="74">
        <f t="shared" si="6"/>
        <v>19.3</v>
      </c>
      <c r="G420" s="74">
        <v>19.3</v>
      </c>
      <c r="I420" s="137"/>
    </row>
    <row r="421" spans="1:9">
      <c r="A421" s="4">
        <v>417</v>
      </c>
      <c r="B421" s="10" t="s">
        <v>1299</v>
      </c>
      <c r="C421" s="76" t="s">
        <v>2125</v>
      </c>
      <c r="D421" s="73" t="s">
        <v>1722</v>
      </c>
      <c r="E421" s="74">
        <f t="shared" si="6"/>
        <v>33.21</v>
      </c>
      <c r="G421" s="74">
        <v>33.21</v>
      </c>
      <c r="I421" s="137"/>
    </row>
    <row r="422" spans="1:9">
      <c r="A422" s="4">
        <v>418</v>
      </c>
      <c r="B422" s="10" t="s">
        <v>1300</v>
      </c>
      <c r="C422" s="76" t="s">
        <v>2126</v>
      </c>
      <c r="D422" s="73" t="s">
        <v>1722</v>
      </c>
      <c r="E422" s="74">
        <f t="shared" si="6"/>
        <v>14.72</v>
      </c>
      <c r="G422" s="74">
        <v>14.72</v>
      </c>
      <c r="I422" s="137"/>
    </row>
    <row r="423" spans="1:9">
      <c r="A423" s="4">
        <v>419</v>
      </c>
      <c r="B423" s="10" t="s">
        <v>1301</v>
      </c>
      <c r="C423" s="76" t="s">
        <v>2127</v>
      </c>
      <c r="D423" s="73" t="s">
        <v>1722</v>
      </c>
      <c r="E423" s="74">
        <f t="shared" si="6"/>
        <v>15.88</v>
      </c>
      <c r="G423" s="74">
        <v>15.88</v>
      </c>
      <c r="I423" s="137"/>
    </row>
    <row r="424" spans="1:9">
      <c r="A424" s="4">
        <v>420</v>
      </c>
      <c r="B424" s="10" t="s">
        <v>1302</v>
      </c>
      <c r="C424" s="76" t="s">
        <v>2128</v>
      </c>
      <c r="D424" s="73" t="s">
        <v>1722</v>
      </c>
      <c r="E424" s="74">
        <f t="shared" si="6"/>
        <v>24</v>
      </c>
      <c r="G424" s="74">
        <v>24</v>
      </c>
      <c r="I424" s="137"/>
    </row>
    <row r="425" spans="1:9">
      <c r="A425" s="4">
        <v>421</v>
      </c>
      <c r="B425" s="10" t="s">
        <v>1303</v>
      </c>
      <c r="C425" s="76" t="s">
        <v>1799</v>
      </c>
      <c r="D425" s="73" t="s">
        <v>1722</v>
      </c>
      <c r="E425" s="74">
        <f t="shared" si="6"/>
        <v>19.100000000000001</v>
      </c>
      <c r="G425" s="74">
        <v>19.100000000000001</v>
      </c>
      <c r="I425" s="137"/>
    </row>
    <row r="426" spans="1:9">
      <c r="A426" s="4">
        <v>422</v>
      </c>
      <c r="B426" s="10" t="s">
        <v>1304</v>
      </c>
      <c r="C426" s="76" t="s">
        <v>1800</v>
      </c>
      <c r="D426" s="73" t="s">
        <v>1722</v>
      </c>
      <c r="E426" s="74">
        <f t="shared" si="6"/>
        <v>26.8</v>
      </c>
      <c r="G426" s="74">
        <v>26.8</v>
      </c>
      <c r="I426" s="137"/>
    </row>
    <row r="427" spans="1:9">
      <c r="A427" s="4">
        <v>423</v>
      </c>
      <c r="B427" s="10" t="s">
        <v>1305</v>
      </c>
      <c r="C427" s="76" t="s">
        <v>1801</v>
      </c>
      <c r="D427" s="73" t="s">
        <v>1722</v>
      </c>
      <c r="E427" s="74">
        <f t="shared" si="6"/>
        <v>42</v>
      </c>
      <c r="G427" s="74">
        <v>42</v>
      </c>
      <c r="I427" s="137"/>
    </row>
    <row r="428" spans="1:9">
      <c r="A428" s="4">
        <v>424</v>
      </c>
      <c r="B428" s="10" t="s">
        <v>1306</v>
      </c>
      <c r="C428" s="76" t="s">
        <v>1802</v>
      </c>
      <c r="D428" s="73" t="s">
        <v>1722</v>
      </c>
      <c r="E428" s="74">
        <f t="shared" si="6"/>
        <v>125</v>
      </c>
      <c r="G428" s="74">
        <v>125</v>
      </c>
      <c r="I428" s="137"/>
    </row>
    <row r="429" spans="1:9">
      <c r="A429" s="4">
        <v>425</v>
      </c>
      <c r="B429" s="10" t="s">
        <v>1307</v>
      </c>
      <c r="C429" s="76" t="s">
        <v>1803</v>
      </c>
      <c r="D429" s="73" t="s">
        <v>1722</v>
      </c>
      <c r="E429" s="74">
        <f t="shared" si="6"/>
        <v>150</v>
      </c>
      <c r="G429" s="74">
        <v>150</v>
      </c>
      <c r="I429" s="137"/>
    </row>
    <row r="430" spans="1:9">
      <c r="A430" s="4">
        <v>426</v>
      </c>
      <c r="B430" s="10" t="s">
        <v>1308</v>
      </c>
      <c r="C430" s="76" t="s">
        <v>1804</v>
      </c>
      <c r="D430" s="73" t="s">
        <v>1722</v>
      </c>
      <c r="E430" s="74">
        <f t="shared" si="6"/>
        <v>560</v>
      </c>
      <c r="G430" s="74">
        <v>560</v>
      </c>
      <c r="I430" s="137"/>
    </row>
    <row r="431" spans="1:9">
      <c r="A431" s="4">
        <v>427</v>
      </c>
      <c r="B431" s="10" t="s">
        <v>1309</v>
      </c>
      <c r="C431" s="76" t="s">
        <v>2129</v>
      </c>
      <c r="D431" s="73" t="s">
        <v>1722</v>
      </c>
      <c r="E431" s="74">
        <f t="shared" si="6"/>
        <v>5924</v>
      </c>
      <c r="G431" s="74">
        <v>5924</v>
      </c>
      <c r="I431" s="137"/>
    </row>
    <row r="432" spans="1:9">
      <c r="A432" s="4">
        <v>428</v>
      </c>
      <c r="B432" s="10" t="s">
        <v>1310</v>
      </c>
      <c r="C432" s="76" t="s">
        <v>2178</v>
      </c>
      <c r="D432" s="73" t="s">
        <v>1722</v>
      </c>
      <c r="E432" s="74">
        <f t="shared" si="6"/>
        <v>0</v>
      </c>
      <c r="I432" s="137"/>
    </row>
    <row r="433" spans="1:9">
      <c r="A433" s="4">
        <v>429</v>
      </c>
      <c r="B433" s="10" t="s">
        <v>1311</v>
      </c>
      <c r="C433" s="76" t="s">
        <v>2130</v>
      </c>
      <c r="D433" s="73" t="s">
        <v>1722</v>
      </c>
      <c r="E433" s="74">
        <f t="shared" si="6"/>
        <v>3964</v>
      </c>
      <c r="G433" s="74">
        <v>3964</v>
      </c>
      <c r="I433" s="137"/>
    </row>
    <row r="434" spans="1:9">
      <c r="A434" s="4">
        <v>430</v>
      </c>
      <c r="B434" s="10" t="s">
        <v>1312</v>
      </c>
      <c r="C434" s="76" t="s">
        <v>1806</v>
      </c>
      <c r="D434" s="73" t="s">
        <v>1722</v>
      </c>
      <c r="E434" s="74">
        <f t="shared" si="6"/>
        <v>61.93</v>
      </c>
      <c r="G434" s="74">
        <v>61.93</v>
      </c>
      <c r="I434" s="137"/>
    </row>
    <row r="435" spans="1:9">
      <c r="A435" s="4">
        <v>431</v>
      </c>
      <c r="B435" s="10" t="s">
        <v>1313</v>
      </c>
      <c r="C435" s="76" t="s">
        <v>93</v>
      </c>
      <c r="D435" s="73" t="s">
        <v>1722</v>
      </c>
      <c r="E435" s="74">
        <f t="shared" si="6"/>
        <v>150</v>
      </c>
      <c r="G435" s="74">
        <v>150</v>
      </c>
      <c r="I435" s="137"/>
    </row>
    <row r="436" spans="1:9">
      <c r="A436" s="4">
        <v>432</v>
      </c>
      <c r="B436" s="10" t="s">
        <v>1314</v>
      </c>
      <c r="C436" s="76"/>
      <c r="E436" s="74">
        <f t="shared" si="6"/>
        <v>0</v>
      </c>
      <c r="G436" s="74">
        <v>0</v>
      </c>
      <c r="I436" s="137"/>
    </row>
    <row r="437" spans="1:9">
      <c r="A437" s="4">
        <v>433</v>
      </c>
      <c r="B437" s="10" t="s">
        <v>1315</v>
      </c>
      <c r="C437" s="76" t="s">
        <v>2131</v>
      </c>
      <c r="D437" s="73" t="s">
        <v>94</v>
      </c>
      <c r="E437" s="74">
        <f t="shared" si="6"/>
        <v>15126.500000000002</v>
      </c>
      <c r="G437" s="74">
        <v>15126.500000000002</v>
      </c>
      <c r="I437" s="137"/>
    </row>
    <row r="438" spans="1:9">
      <c r="A438" s="4">
        <v>434</v>
      </c>
      <c r="B438" s="10" t="s">
        <v>1316</v>
      </c>
      <c r="C438" s="76" t="s">
        <v>2132</v>
      </c>
      <c r="D438" s="73" t="s">
        <v>94</v>
      </c>
      <c r="E438" s="74">
        <f t="shared" si="6"/>
        <v>5696.7599999999993</v>
      </c>
      <c r="G438" s="74">
        <v>5696.7599999999993</v>
      </c>
      <c r="I438" s="137"/>
    </row>
    <row r="439" spans="1:9">
      <c r="A439" s="4">
        <v>435</v>
      </c>
      <c r="B439" s="10" t="s">
        <v>1317</v>
      </c>
      <c r="C439" s="76" t="s">
        <v>2133</v>
      </c>
      <c r="D439" s="73" t="s">
        <v>94</v>
      </c>
      <c r="E439" s="74">
        <f t="shared" si="6"/>
        <v>23527.61</v>
      </c>
      <c r="G439" s="74">
        <v>23527.61</v>
      </c>
      <c r="I439" s="137"/>
    </row>
    <row r="440" spans="1:9">
      <c r="A440" s="4">
        <v>436</v>
      </c>
      <c r="B440" s="10" t="s">
        <v>1318</v>
      </c>
      <c r="C440" s="76" t="s">
        <v>2134</v>
      </c>
      <c r="D440" s="73" t="s">
        <v>94</v>
      </c>
      <c r="E440" s="74">
        <f t="shared" si="6"/>
        <v>46002</v>
      </c>
      <c r="G440" s="74">
        <v>46002</v>
      </c>
      <c r="I440" s="137"/>
    </row>
    <row r="441" spans="1:9">
      <c r="A441" s="4">
        <v>437</v>
      </c>
      <c r="B441" s="10" t="s">
        <v>1319</v>
      </c>
      <c r="C441" s="76"/>
      <c r="E441" s="74">
        <f t="shared" si="6"/>
        <v>0</v>
      </c>
      <c r="G441" s="74">
        <v>0</v>
      </c>
      <c r="I441" s="137"/>
    </row>
    <row r="442" spans="1:9">
      <c r="A442" s="4">
        <v>438</v>
      </c>
      <c r="B442" s="10" t="s">
        <v>1320</v>
      </c>
      <c r="C442" s="76"/>
      <c r="E442" s="74">
        <f t="shared" si="6"/>
        <v>0</v>
      </c>
      <c r="G442" s="74">
        <v>0</v>
      </c>
      <c r="I442" s="137"/>
    </row>
    <row r="443" spans="1:9">
      <c r="A443" s="4">
        <v>439</v>
      </c>
      <c r="B443" s="10" t="s">
        <v>1321</v>
      </c>
      <c r="C443" s="76"/>
      <c r="E443" s="74">
        <f t="shared" si="6"/>
        <v>0</v>
      </c>
      <c r="G443" s="74">
        <v>0</v>
      </c>
      <c r="I443" s="137"/>
    </row>
    <row r="444" spans="1:9">
      <c r="A444" s="4">
        <v>440</v>
      </c>
      <c r="B444" s="10" t="s">
        <v>1322</v>
      </c>
      <c r="C444" s="76" t="s">
        <v>2172</v>
      </c>
      <c r="D444" s="73" t="s">
        <v>1722</v>
      </c>
      <c r="E444" s="74">
        <f t="shared" si="6"/>
        <v>315550</v>
      </c>
      <c r="G444" s="74">
        <v>315550</v>
      </c>
      <c r="H444" s="71" t="s">
        <v>2175</v>
      </c>
      <c r="I444" s="137"/>
    </row>
    <row r="445" spans="1:9">
      <c r="A445" s="4">
        <v>441</v>
      </c>
      <c r="B445" s="10" t="s">
        <v>1323</v>
      </c>
      <c r="C445" s="76" t="s">
        <v>2173</v>
      </c>
      <c r="D445" s="73" t="s">
        <v>1722</v>
      </c>
      <c r="E445" s="74">
        <f t="shared" si="6"/>
        <v>289600</v>
      </c>
      <c r="G445" s="74">
        <v>289600</v>
      </c>
      <c r="H445" s="71" t="s">
        <v>2175</v>
      </c>
      <c r="I445" s="137"/>
    </row>
    <row r="446" spans="1:9">
      <c r="A446" s="4">
        <v>442</v>
      </c>
      <c r="B446" s="10" t="s">
        <v>1324</v>
      </c>
      <c r="C446" s="76" t="s">
        <v>2174</v>
      </c>
      <c r="D446" s="73" t="s">
        <v>1722</v>
      </c>
      <c r="E446" s="74">
        <f t="shared" si="6"/>
        <v>0</v>
      </c>
      <c r="G446" s="74">
        <v>0</v>
      </c>
      <c r="H446" s="71" t="s">
        <v>2176</v>
      </c>
      <c r="I446" s="137"/>
    </row>
    <row r="447" spans="1:9">
      <c r="A447" s="4">
        <v>443</v>
      </c>
      <c r="B447" s="10" t="s">
        <v>1325</v>
      </c>
      <c r="C447" s="76"/>
      <c r="E447" s="74">
        <f t="shared" si="6"/>
        <v>0</v>
      </c>
      <c r="G447" s="74">
        <v>0</v>
      </c>
      <c r="I447" s="137"/>
    </row>
    <row r="448" spans="1:9">
      <c r="A448" s="4">
        <v>444</v>
      </c>
      <c r="B448" s="10" t="s">
        <v>1326</v>
      </c>
      <c r="C448" s="76"/>
      <c r="E448" s="74">
        <f t="shared" si="6"/>
        <v>0</v>
      </c>
      <c r="G448" s="74">
        <v>0</v>
      </c>
      <c r="I448" s="137"/>
    </row>
    <row r="449" spans="1:9">
      <c r="A449" s="4">
        <v>445</v>
      </c>
      <c r="B449" s="10" t="s">
        <v>1327</v>
      </c>
      <c r="C449" s="76" t="s">
        <v>2153</v>
      </c>
      <c r="D449" s="73" t="s">
        <v>1722</v>
      </c>
      <c r="E449" s="74">
        <f t="shared" si="6"/>
        <v>1160</v>
      </c>
      <c r="G449" s="74">
        <v>1160</v>
      </c>
      <c r="I449" s="137"/>
    </row>
    <row r="450" spans="1:9">
      <c r="A450" s="4">
        <v>446</v>
      </c>
      <c r="B450" s="10" t="s">
        <v>1328</v>
      </c>
      <c r="C450" s="76" t="s">
        <v>2179</v>
      </c>
      <c r="D450" s="73" t="s">
        <v>1722</v>
      </c>
      <c r="E450" s="74">
        <f t="shared" si="6"/>
        <v>3500</v>
      </c>
      <c r="G450" s="74">
        <v>3500</v>
      </c>
      <c r="I450" s="137"/>
    </row>
    <row r="451" spans="1:9">
      <c r="A451" s="4">
        <v>447</v>
      </c>
      <c r="B451" s="10" t="s">
        <v>1329</v>
      </c>
      <c r="C451" s="76" t="s">
        <v>2155</v>
      </c>
      <c r="D451" s="73" t="s">
        <v>1722</v>
      </c>
      <c r="E451" s="74">
        <f t="shared" si="6"/>
        <v>34</v>
      </c>
      <c r="G451" s="74">
        <v>34</v>
      </c>
      <c r="I451" s="137"/>
    </row>
    <row r="452" spans="1:9">
      <c r="A452" s="4">
        <v>448</v>
      </c>
      <c r="B452" s="10" t="s">
        <v>1330</v>
      </c>
      <c r="C452" s="76" t="s">
        <v>2156</v>
      </c>
      <c r="D452" s="73" t="s">
        <v>1722</v>
      </c>
      <c r="E452" s="74">
        <f t="shared" si="6"/>
        <v>85</v>
      </c>
      <c r="G452" s="74">
        <v>85</v>
      </c>
      <c r="I452" s="137"/>
    </row>
    <row r="453" spans="1:9">
      <c r="A453" s="4">
        <v>449</v>
      </c>
      <c r="B453" s="10" t="s">
        <v>1331</v>
      </c>
      <c r="C453" s="76" t="s">
        <v>2157</v>
      </c>
      <c r="D453" s="73" t="s">
        <v>1722</v>
      </c>
      <c r="E453" s="74">
        <f t="shared" si="6"/>
        <v>540</v>
      </c>
      <c r="G453" s="74">
        <v>540</v>
      </c>
      <c r="I453" s="137"/>
    </row>
    <row r="454" spans="1:9">
      <c r="A454" s="4">
        <v>450</v>
      </c>
      <c r="B454" s="10" t="s">
        <v>1332</v>
      </c>
      <c r="C454" s="76" t="s">
        <v>2180</v>
      </c>
      <c r="D454" s="73" t="s">
        <v>1722</v>
      </c>
      <c r="E454" s="74">
        <f t="shared" si="6"/>
        <v>500</v>
      </c>
      <c r="G454" s="74">
        <v>500</v>
      </c>
      <c r="I454" s="137"/>
    </row>
    <row r="455" spans="1:9">
      <c r="A455" s="4">
        <v>451</v>
      </c>
      <c r="B455" s="10" t="s">
        <v>1333</v>
      </c>
      <c r="C455" s="76" t="s">
        <v>2398</v>
      </c>
      <c r="D455" s="73" t="s">
        <v>1722</v>
      </c>
      <c r="E455" s="299">
        <f t="shared" si="6"/>
        <v>15.5</v>
      </c>
      <c r="G455" s="299">
        <v>15.5</v>
      </c>
      <c r="I455" s="137"/>
    </row>
    <row r="456" spans="1:9">
      <c r="A456" s="4">
        <v>452</v>
      </c>
      <c r="B456" s="10" t="s">
        <v>1334</v>
      </c>
      <c r="C456" s="76" t="s">
        <v>2399</v>
      </c>
      <c r="D456" s="73" t="s">
        <v>1722</v>
      </c>
      <c r="E456" s="299">
        <f t="shared" ref="E456:E475" si="7">+G456*$E$2*$E$3*$E$4</f>
        <v>10</v>
      </c>
      <c r="G456" s="299">
        <v>10</v>
      </c>
      <c r="I456" s="137"/>
    </row>
    <row r="457" spans="1:9">
      <c r="A457" s="4">
        <v>453</v>
      </c>
      <c r="B457" s="10" t="s">
        <v>1335</v>
      </c>
      <c r="C457" s="76" t="s">
        <v>2400</v>
      </c>
      <c r="D457" s="73" t="s">
        <v>1722</v>
      </c>
      <c r="E457" s="299">
        <f t="shared" si="7"/>
        <v>20.5</v>
      </c>
      <c r="G457" s="299">
        <v>20.5</v>
      </c>
      <c r="I457" s="137"/>
    </row>
    <row r="458" spans="1:9">
      <c r="A458" s="4">
        <v>454</v>
      </c>
      <c r="B458" s="10" t="s">
        <v>1336</v>
      </c>
      <c r="C458" s="76" t="s">
        <v>2401</v>
      </c>
      <c r="D458" s="73" t="s">
        <v>1722</v>
      </c>
      <c r="E458" s="299">
        <f t="shared" si="7"/>
        <v>23.5</v>
      </c>
      <c r="G458" s="299">
        <v>23.5</v>
      </c>
      <c r="I458" s="137"/>
    </row>
    <row r="459" spans="1:9">
      <c r="A459" s="4">
        <v>455</v>
      </c>
      <c r="B459" s="10" t="s">
        <v>1337</v>
      </c>
      <c r="C459" s="76" t="s">
        <v>2402</v>
      </c>
      <c r="D459" s="73" t="s">
        <v>1722</v>
      </c>
      <c r="E459" s="299">
        <f t="shared" si="7"/>
        <v>3.7</v>
      </c>
      <c r="G459" s="299">
        <v>3.7</v>
      </c>
      <c r="I459" s="137"/>
    </row>
    <row r="460" spans="1:9">
      <c r="A460" s="4">
        <v>456</v>
      </c>
      <c r="B460" s="10" t="s">
        <v>1338</v>
      </c>
      <c r="C460" s="76" t="s">
        <v>2403</v>
      </c>
      <c r="D460" s="73" t="s">
        <v>1722</v>
      </c>
      <c r="E460" s="299">
        <f t="shared" si="7"/>
        <v>3.1</v>
      </c>
      <c r="G460" s="299">
        <v>3.1</v>
      </c>
      <c r="I460" s="137"/>
    </row>
    <row r="461" spans="1:9">
      <c r="A461" s="4">
        <v>457</v>
      </c>
      <c r="B461" s="10" t="s">
        <v>1339</v>
      </c>
      <c r="C461" s="76" t="s">
        <v>2404</v>
      </c>
      <c r="D461" s="73" t="s">
        <v>1722</v>
      </c>
      <c r="E461" s="299">
        <f t="shared" si="7"/>
        <v>2.5</v>
      </c>
      <c r="G461" s="299">
        <v>2.5</v>
      </c>
      <c r="I461" s="137"/>
    </row>
    <row r="462" spans="1:9">
      <c r="A462" s="4">
        <v>458</v>
      </c>
      <c r="B462" s="10" t="s">
        <v>1340</v>
      </c>
      <c r="C462" s="76" t="s">
        <v>2405</v>
      </c>
      <c r="D462" s="73" t="s">
        <v>1722</v>
      </c>
      <c r="E462" s="299">
        <f t="shared" si="7"/>
        <v>10.5</v>
      </c>
      <c r="G462" s="299">
        <v>10.5</v>
      </c>
      <c r="I462" s="137"/>
    </row>
    <row r="463" spans="1:9">
      <c r="A463" s="4">
        <v>459</v>
      </c>
      <c r="B463" s="10" t="s">
        <v>1341</v>
      </c>
      <c r="C463" s="76" t="s">
        <v>2406</v>
      </c>
      <c r="D463" s="73" t="s">
        <v>1722</v>
      </c>
      <c r="E463" s="299">
        <f t="shared" si="7"/>
        <v>6.2</v>
      </c>
      <c r="G463" s="299">
        <v>6.2</v>
      </c>
      <c r="I463" s="137"/>
    </row>
    <row r="464" spans="1:9">
      <c r="A464" s="4">
        <v>460</v>
      </c>
      <c r="B464" s="10" t="s">
        <v>1342</v>
      </c>
      <c r="C464" s="76" t="s">
        <v>2407</v>
      </c>
      <c r="D464" s="73" t="s">
        <v>1722</v>
      </c>
      <c r="E464" s="299">
        <f t="shared" si="7"/>
        <v>3.6</v>
      </c>
      <c r="G464" s="299">
        <v>3.6</v>
      </c>
      <c r="I464" s="137"/>
    </row>
    <row r="465" spans="1:9">
      <c r="A465" s="4">
        <v>461</v>
      </c>
      <c r="B465" s="10" t="s">
        <v>1343</v>
      </c>
      <c r="C465" s="76" t="s">
        <v>2408</v>
      </c>
      <c r="D465" s="73" t="s">
        <v>1722</v>
      </c>
      <c r="E465" s="299">
        <f t="shared" si="7"/>
        <v>16.3</v>
      </c>
      <c r="G465" s="299">
        <v>16.3</v>
      </c>
      <c r="I465" s="137"/>
    </row>
    <row r="466" spans="1:9">
      <c r="A466" s="4">
        <v>462</v>
      </c>
      <c r="B466" s="10" t="s">
        <v>1344</v>
      </c>
      <c r="C466" s="76" t="s">
        <v>2409</v>
      </c>
      <c r="D466" s="73" t="s">
        <v>778</v>
      </c>
      <c r="E466" s="299">
        <f t="shared" si="7"/>
        <v>2.2999999999999998</v>
      </c>
      <c r="G466" s="299">
        <v>2.2999999999999998</v>
      </c>
      <c r="I466" s="137"/>
    </row>
    <row r="467" spans="1:9">
      <c r="A467" s="4">
        <v>463</v>
      </c>
      <c r="B467" s="10" t="s">
        <v>1345</v>
      </c>
      <c r="C467" s="76" t="s">
        <v>2410</v>
      </c>
      <c r="D467" s="73" t="s">
        <v>778</v>
      </c>
      <c r="E467" s="299">
        <f t="shared" si="7"/>
        <v>3.6</v>
      </c>
      <c r="G467" s="299">
        <v>3.6</v>
      </c>
      <c r="I467" s="137"/>
    </row>
    <row r="468" spans="1:9">
      <c r="A468" s="4">
        <v>464</v>
      </c>
      <c r="B468" s="10" t="s">
        <v>1346</v>
      </c>
      <c r="C468" s="76" t="s">
        <v>2411</v>
      </c>
      <c r="D468" s="73" t="s">
        <v>778</v>
      </c>
      <c r="E468" s="299">
        <f t="shared" si="7"/>
        <v>5.7</v>
      </c>
      <c r="G468" s="299">
        <v>5.7</v>
      </c>
      <c r="I468" s="137"/>
    </row>
    <row r="469" spans="1:9">
      <c r="A469" s="4">
        <v>465</v>
      </c>
      <c r="B469" s="10" t="s">
        <v>1347</v>
      </c>
      <c r="C469" s="76" t="s">
        <v>2412</v>
      </c>
      <c r="D469" s="73" t="s">
        <v>778</v>
      </c>
      <c r="E469" s="299">
        <f t="shared" si="7"/>
        <v>14.2</v>
      </c>
      <c r="G469" s="299">
        <v>14.2</v>
      </c>
      <c r="I469" s="137"/>
    </row>
    <row r="470" spans="1:9">
      <c r="A470" s="4">
        <v>466</v>
      </c>
      <c r="B470" s="10" t="s">
        <v>1348</v>
      </c>
      <c r="C470" s="76" t="s">
        <v>2413</v>
      </c>
      <c r="D470" s="73" t="s">
        <v>1722</v>
      </c>
      <c r="E470" s="299">
        <f t="shared" si="7"/>
        <v>8.1999999999999993</v>
      </c>
      <c r="G470" s="299">
        <v>8.1999999999999993</v>
      </c>
      <c r="I470" s="137"/>
    </row>
    <row r="471" spans="1:9">
      <c r="A471" s="4">
        <v>467</v>
      </c>
      <c r="B471" s="10" t="s">
        <v>1349</v>
      </c>
      <c r="C471" s="76" t="s">
        <v>2414</v>
      </c>
      <c r="D471" s="73" t="s">
        <v>1722</v>
      </c>
      <c r="E471" s="299">
        <f t="shared" si="7"/>
        <v>7.7</v>
      </c>
      <c r="G471" s="299">
        <v>7.7</v>
      </c>
      <c r="I471" s="137"/>
    </row>
    <row r="472" spans="1:9">
      <c r="A472" s="4">
        <v>468</v>
      </c>
      <c r="B472" s="10" t="s">
        <v>1350</v>
      </c>
      <c r="C472" s="76" t="s">
        <v>2415</v>
      </c>
      <c r="D472" s="73" t="s">
        <v>1722</v>
      </c>
      <c r="E472" s="299">
        <f t="shared" si="7"/>
        <v>2.4</v>
      </c>
      <c r="G472" s="299">
        <v>2.4</v>
      </c>
      <c r="I472" s="137"/>
    </row>
    <row r="473" spans="1:9">
      <c r="A473" s="4">
        <v>469</v>
      </c>
      <c r="B473" s="10" t="s">
        <v>1351</v>
      </c>
      <c r="C473" s="76" t="s">
        <v>2416</v>
      </c>
      <c r="D473" s="73" t="s">
        <v>1722</v>
      </c>
      <c r="E473" s="299">
        <f t="shared" si="7"/>
        <v>3.2</v>
      </c>
      <c r="G473" s="299">
        <v>3.2</v>
      </c>
      <c r="I473" s="137"/>
    </row>
    <row r="474" spans="1:9">
      <c r="A474" s="4">
        <v>470</v>
      </c>
      <c r="B474" s="10" t="s">
        <v>1352</v>
      </c>
      <c r="C474" s="76" t="s">
        <v>2417</v>
      </c>
      <c r="D474" s="73" t="s">
        <v>1722</v>
      </c>
      <c r="E474" s="299">
        <f t="shared" si="7"/>
        <v>4.2</v>
      </c>
      <c r="G474" s="299">
        <v>4.2</v>
      </c>
      <c r="I474" s="137"/>
    </row>
    <row r="475" spans="1:9">
      <c r="A475" s="4">
        <v>471</v>
      </c>
      <c r="B475" s="10" t="s">
        <v>1353</v>
      </c>
      <c r="C475" s="76" t="s">
        <v>2418</v>
      </c>
      <c r="D475" s="73" t="s">
        <v>1722</v>
      </c>
      <c r="E475" s="299">
        <f t="shared" si="7"/>
        <v>200</v>
      </c>
      <c r="G475" s="299">
        <v>200</v>
      </c>
      <c r="I475" s="137"/>
    </row>
    <row r="476" spans="1:9">
      <c r="A476" s="4">
        <v>472</v>
      </c>
      <c r="B476" s="10" t="s">
        <v>1354</v>
      </c>
      <c r="C476" s="408" t="s">
        <v>2420</v>
      </c>
      <c r="D476" s="73" t="s">
        <v>1722</v>
      </c>
      <c r="E476" s="74">
        <f t="shared" ref="E476:E519" si="8">+G476*$E$2*$E$3*$E$4</f>
        <v>422</v>
      </c>
      <c r="G476" s="74">
        <v>422</v>
      </c>
      <c r="I476" s="137"/>
    </row>
    <row r="477" spans="1:9">
      <c r="A477" s="4">
        <v>473</v>
      </c>
      <c r="B477" s="10" t="s">
        <v>1355</v>
      </c>
      <c r="C477" s="76" t="s">
        <v>2421</v>
      </c>
      <c r="D477" s="73" t="s">
        <v>1722</v>
      </c>
      <c r="E477" s="74">
        <f t="shared" si="8"/>
        <v>205</v>
      </c>
      <c r="G477" s="74">
        <v>205</v>
      </c>
      <c r="I477" s="137"/>
    </row>
    <row r="478" spans="1:9">
      <c r="A478" s="4">
        <v>474</v>
      </c>
      <c r="B478" s="10" t="s">
        <v>1356</v>
      </c>
      <c r="C478" s="76" t="s">
        <v>2422</v>
      </c>
      <c r="D478" s="73" t="s">
        <v>1722</v>
      </c>
      <c r="E478" s="74">
        <f t="shared" si="8"/>
        <v>88</v>
      </c>
      <c r="G478" s="74">
        <v>88</v>
      </c>
      <c r="I478" s="137"/>
    </row>
    <row r="479" spans="1:9">
      <c r="A479" s="4">
        <v>475</v>
      </c>
      <c r="B479" s="10" t="s">
        <v>1357</v>
      </c>
      <c r="C479" s="76" t="s">
        <v>2423</v>
      </c>
      <c r="D479" s="73" t="s">
        <v>778</v>
      </c>
      <c r="E479" s="74">
        <f t="shared" si="8"/>
        <v>14</v>
      </c>
      <c r="G479" s="74">
        <v>14</v>
      </c>
      <c r="I479" s="137"/>
    </row>
    <row r="480" spans="1:9">
      <c r="A480" s="4">
        <v>476</v>
      </c>
      <c r="B480" s="10" t="s">
        <v>1358</v>
      </c>
      <c r="C480" s="76" t="s">
        <v>2424</v>
      </c>
      <c r="D480" s="73" t="s">
        <v>1722</v>
      </c>
      <c r="E480" s="74">
        <f t="shared" si="8"/>
        <v>1200</v>
      </c>
      <c r="G480" s="74">
        <v>1200</v>
      </c>
      <c r="I480" s="137"/>
    </row>
    <row r="481" spans="1:9">
      <c r="A481" s="4">
        <v>477</v>
      </c>
      <c r="B481" s="10" t="s">
        <v>1359</v>
      </c>
      <c r="C481" s="76" t="s">
        <v>2425</v>
      </c>
      <c r="D481" s="73" t="s">
        <v>1722</v>
      </c>
      <c r="E481" s="74">
        <f t="shared" si="8"/>
        <v>200</v>
      </c>
      <c r="G481" s="74">
        <v>200</v>
      </c>
      <c r="I481" s="137"/>
    </row>
    <row r="482" spans="1:9">
      <c r="A482" s="4">
        <v>478</v>
      </c>
      <c r="B482" s="10" t="s">
        <v>1360</v>
      </c>
      <c r="C482" s="76" t="s">
        <v>2426</v>
      </c>
      <c r="D482" s="73" t="s">
        <v>1722</v>
      </c>
      <c r="E482" s="74">
        <f t="shared" si="8"/>
        <v>200</v>
      </c>
      <c r="G482" s="74">
        <v>200</v>
      </c>
      <c r="I482" s="137"/>
    </row>
    <row r="483" spans="1:9">
      <c r="A483" s="4">
        <v>479</v>
      </c>
      <c r="B483" s="10" t="s">
        <v>1361</v>
      </c>
      <c r="C483" s="76" t="s">
        <v>2427</v>
      </c>
      <c r="D483" s="73" t="s">
        <v>1722</v>
      </c>
      <c r="E483" s="74">
        <f t="shared" si="8"/>
        <v>260</v>
      </c>
      <c r="G483" s="74">
        <v>260</v>
      </c>
      <c r="I483" s="137"/>
    </row>
    <row r="484" spans="1:9">
      <c r="A484" s="4">
        <v>480</v>
      </c>
      <c r="B484" s="10" t="s">
        <v>1362</v>
      </c>
      <c r="C484" s="76" t="s">
        <v>2428</v>
      </c>
      <c r="D484" s="73" t="s">
        <v>1722</v>
      </c>
      <c r="E484" s="74">
        <f t="shared" si="8"/>
        <v>992</v>
      </c>
      <c r="G484" s="74">
        <v>992</v>
      </c>
      <c r="I484" s="137"/>
    </row>
    <row r="485" spans="1:9">
      <c r="A485" s="4">
        <v>481</v>
      </c>
      <c r="B485" s="10" t="s">
        <v>1363</v>
      </c>
      <c r="C485" s="76" t="s">
        <v>2429</v>
      </c>
      <c r="D485" s="73" t="s">
        <v>1722</v>
      </c>
      <c r="E485" s="74">
        <f t="shared" si="8"/>
        <v>4550</v>
      </c>
      <c r="G485" s="74">
        <v>4550</v>
      </c>
      <c r="I485" s="137"/>
    </row>
    <row r="486" spans="1:9">
      <c r="A486" s="4">
        <v>482</v>
      </c>
      <c r="B486" s="10" t="s">
        <v>1364</v>
      </c>
      <c r="C486" s="76" t="s">
        <v>2430</v>
      </c>
      <c r="D486" s="73" t="s">
        <v>1722</v>
      </c>
      <c r="E486" s="74">
        <f t="shared" si="8"/>
        <v>992</v>
      </c>
      <c r="G486" s="74">
        <v>992</v>
      </c>
      <c r="I486" s="137"/>
    </row>
    <row r="487" spans="1:9">
      <c r="A487" s="4">
        <v>483</v>
      </c>
      <c r="B487" s="10" t="s">
        <v>1365</v>
      </c>
      <c r="C487" s="76" t="s">
        <v>2431</v>
      </c>
      <c r="D487" s="73" t="s">
        <v>1722</v>
      </c>
      <c r="E487" s="74">
        <f t="shared" si="8"/>
        <v>885</v>
      </c>
      <c r="G487" s="74">
        <v>885</v>
      </c>
      <c r="I487" s="137"/>
    </row>
    <row r="488" spans="1:9">
      <c r="A488" s="4">
        <v>484</v>
      </c>
      <c r="B488" s="10" t="s">
        <v>1366</v>
      </c>
      <c r="C488" s="76" t="s">
        <v>2418</v>
      </c>
      <c r="D488" s="73" t="s">
        <v>1722</v>
      </c>
      <c r="E488" s="74">
        <f t="shared" si="8"/>
        <v>200</v>
      </c>
      <c r="G488" s="74">
        <v>200</v>
      </c>
      <c r="I488" s="137"/>
    </row>
    <row r="489" spans="1:9">
      <c r="A489" s="4">
        <v>485</v>
      </c>
      <c r="B489" s="10" t="s">
        <v>1367</v>
      </c>
      <c r="C489" s="76"/>
      <c r="E489" s="74">
        <f t="shared" si="8"/>
        <v>0</v>
      </c>
      <c r="G489" s="74">
        <v>0</v>
      </c>
      <c r="I489" s="137"/>
    </row>
    <row r="490" spans="1:9">
      <c r="A490" s="4">
        <v>486</v>
      </c>
      <c r="B490" s="10" t="s">
        <v>1368</v>
      </c>
      <c r="C490" s="76"/>
      <c r="E490" s="74">
        <f t="shared" si="8"/>
        <v>0</v>
      </c>
      <c r="G490" s="74">
        <v>0</v>
      </c>
      <c r="I490" s="137"/>
    </row>
    <row r="491" spans="1:9">
      <c r="A491" s="4">
        <v>487</v>
      </c>
      <c r="B491" s="10" t="s">
        <v>1369</v>
      </c>
      <c r="C491" s="76"/>
      <c r="E491" s="74">
        <f t="shared" si="8"/>
        <v>0</v>
      </c>
      <c r="G491" s="74">
        <v>0</v>
      </c>
      <c r="I491" s="137"/>
    </row>
    <row r="492" spans="1:9">
      <c r="A492" s="4">
        <v>488</v>
      </c>
      <c r="B492" s="10" t="s">
        <v>1370</v>
      </c>
      <c r="C492" s="76"/>
      <c r="E492" s="74">
        <f t="shared" si="8"/>
        <v>0</v>
      </c>
      <c r="G492" s="74">
        <v>0</v>
      </c>
      <c r="I492" s="137"/>
    </row>
    <row r="493" spans="1:9">
      <c r="A493" s="4">
        <v>489</v>
      </c>
      <c r="B493" s="10" t="s">
        <v>1371</v>
      </c>
      <c r="C493" s="76"/>
      <c r="E493" s="74">
        <f t="shared" si="8"/>
        <v>0</v>
      </c>
      <c r="G493" s="74">
        <v>0</v>
      </c>
      <c r="I493" s="137"/>
    </row>
    <row r="494" spans="1:9">
      <c r="A494" s="4">
        <v>490</v>
      </c>
      <c r="B494" s="10" t="s">
        <v>1372</v>
      </c>
      <c r="C494" s="76"/>
      <c r="E494" s="74">
        <f t="shared" si="8"/>
        <v>0</v>
      </c>
      <c r="G494" s="74">
        <v>0</v>
      </c>
      <c r="I494" s="137"/>
    </row>
    <row r="495" spans="1:9">
      <c r="A495" s="4">
        <v>491</v>
      </c>
      <c r="B495" s="10" t="s">
        <v>1373</v>
      </c>
      <c r="C495" s="76"/>
      <c r="E495" s="74">
        <f t="shared" si="8"/>
        <v>0</v>
      </c>
      <c r="G495" s="74">
        <v>0</v>
      </c>
      <c r="I495" s="137"/>
    </row>
    <row r="496" spans="1:9">
      <c r="A496" s="4">
        <v>492</v>
      </c>
      <c r="B496" s="10" t="s">
        <v>1374</v>
      </c>
      <c r="C496" s="76"/>
      <c r="E496" s="74">
        <f t="shared" si="8"/>
        <v>0</v>
      </c>
      <c r="G496" s="74">
        <v>0</v>
      </c>
      <c r="I496" s="137"/>
    </row>
    <row r="497" spans="1:9">
      <c r="A497" s="4">
        <v>493</v>
      </c>
      <c r="B497" s="10" t="s">
        <v>1375</v>
      </c>
      <c r="C497" s="76"/>
      <c r="E497" s="74">
        <f t="shared" si="8"/>
        <v>0</v>
      </c>
      <c r="G497" s="74">
        <v>0</v>
      </c>
      <c r="I497" s="137"/>
    </row>
    <row r="498" spans="1:9">
      <c r="A498" s="4">
        <v>494</v>
      </c>
      <c r="B498" s="10" t="s">
        <v>1376</v>
      </c>
      <c r="C498" s="76"/>
      <c r="E498" s="74">
        <f t="shared" si="8"/>
        <v>0</v>
      </c>
      <c r="G498" s="74">
        <v>0</v>
      </c>
      <c r="I498" s="137"/>
    </row>
    <row r="499" spans="1:9">
      <c r="A499" s="4">
        <v>495</v>
      </c>
      <c r="B499" s="10" t="s">
        <v>1377</v>
      </c>
      <c r="C499" s="76"/>
      <c r="E499" s="74">
        <f t="shared" si="8"/>
        <v>0</v>
      </c>
      <c r="G499" s="74">
        <v>0</v>
      </c>
      <c r="I499" s="137"/>
    </row>
    <row r="500" spans="1:9">
      <c r="A500" s="4">
        <v>496</v>
      </c>
      <c r="B500" s="10" t="s">
        <v>1378</v>
      </c>
      <c r="C500" s="76"/>
      <c r="E500" s="74">
        <f t="shared" si="8"/>
        <v>0</v>
      </c>
      <c r="G500" s="74">
        <v>0</v>
      </c>
      <c r="I500" s="137"/>
    </row>
    <row r="501" spans="1:9">
      <c r="A501" s="4">
        <v>497</v>
      </c>
      <c r="B501" s="10" t="s">
        <v>1379</v>
      </c>
      <c r="C501" s="76"/>
      <c r="E501" s="74">
        <f t="shared" si="8"/>
        <v>0</v>
      </c>
      <c r="G501" s="74">
        <v>0</v>
      </c>
      <c r="I501" s="137"/>
    </row>
    <row r="502" spans="1:9">
      <c r="A502" s="4">
        <v>498</v>
      </c>
      <c r="B502" s="10" t="s">
        <v>1380</v>
      </c>
      <c r="C502" s="76"/>
      <c r="E502" s="74">
        <f t="shared" si="8"/>
        <v>0</v>
      </c>
      <c r="G502" s="74">
        <v>0</v>
      </c>
      <c r="I502" s="137"/>
    </row>
    <row r="503" spans="1:9">
      <c r="A503" s="4">
        <v>499</v>
      </c>
      <c r="B503" s="10" t="s">
        <v>1381</v>
      </c>
      <c r="C503" s="76"/>
      <c r="E503" s="74">
        <f t="shared" si="8"/>
        <v>0</v>
      </c>
      <c r="G503" s="74">
        <v>0</v>
      </c>
      <c r="I503" s="137"/>
    </row>
    <row r="504" spans="1:9">
      <c r="A504" s="4">
        <v>500</v>
      </c>
      <c r="B504" s="10" t="s">
        <v>1382</v>
      </c>
      <c r="C504" s="76"/>
      <c r="E504" s="74">
        <f t="shared" si="8"/>
        <v>0</v>
      </c>
      <c r="G504" s="74">
        <v>0</v>
      </c>
      <c r="I504" s="137"/>
    </row>
    <row r="505" spans="1:9">
      <c r="A505" s="4">
        <v>501</v>
      </c>
      <c r="B505" s="10" t="s">
        <v>1383</v>
      </c>
      <c r="C505" s="76"/>
      <c r="E505" s="74">
        <f t="shared" si="8"/>
        <v>0</v>
      </c>
      <c r="G505" s="74">
        <v>0</v>
      </c>
      <c r="I505" s="137"/>
    </row>
    <row r="506" spans="1:9">
      <c r="A506" s="4">
        <v>502</v>
      </c>
      <c r="B506" s="10" t="s">
        <v>1384</v>
      </c>
      <c r="C506" s="76"/>
      <c r="E506" s="74">
        <f t="shared" si="8"/>
        <v>0</v>
      </c>
      <c r="G506" s="74">
        <v>0</v>
      </c>
      <c r="I506" s="137"/>
    </row>
    <row r="507" spans="1:9">
      <c r="A507" s="4">
        <v>503</v>
      </c>
      <c r="B507" s="10" t="s">
        <v>1385</v>
      </c>
      <c r="C507" s="76"/>
      <c r="E507" s="74">
        <f t="shared" si="8"/>
        <v>0</v>
      </c>
      <c r="G507" s="74">
        <v>0</v>
      </c>
      <c r="I507" s="137"/>
    </row>
    <row r="508" spans="1:9">
      <c r="A508" s="4">
        <v>504</v>
      </c>
      <c r="B508" s="10" t="s">
        <v>1386</v>
      </c>
      <c r="C508" s="76"/>
      <c r="E508" s="74">
        <f t="shared" si="8"/>
        <v>0</v>
      </c>
      <c r="G508" s="74">
        <v>0</v>
      </c>
      <c r="I508" s="137"/>
    </row>
    <row r="509" spans="1:9">
      <c r="A509" s="4">
        <v>505</v>
      </c>
      <c r="B509" s="10" t="s">
        <v>1387</v>
      </c>
      <c r="C509" s="76"/>
      <c r="E509" s="74">
        <f t="shared" si="8"/>
        <v>0</v>
      </c>
      <c r="G509" s="74">
        <v>0</v>
      </c>
      <c r="I509" s="137"/>
    </row>
    <row r="510" spans="1:9">
      <c r="A510" s="4">
        <v>506</v>
      </c>
      <c r="B510" s="10" t="s">
        <v>1388</v>
      </c>
      <c r="C510" s="76"/>
      <c r="E510" s="74">
        <f t="shared" si="8"/>
        <v>0</v>
      </c>
      <c r="G510" s="74">
        <v>0</v>
      </c>
      <c r="I510" s="137"/>
    </row>
    <row r="511" spans="1:9">
      <c r="A511" s="4">
        <v>507</v>
      </c>
      <c r="B511" s="10" t="s">
        <v>1389</v>
      </c>
      <c r="C511" s="76"/>
      <c r="E511" s="74">
        <f t="shared" si="8"/>
        <v>0</v>
      </c>
      <c r="G511" s="74">
        <v>0</v>
      </c>
      <c r="I511" s="137"/>
    </row>
    <row r="512" spans="1:9">
      <c r="A512" s="4">
        <v>508</v>
      </c>
      <c r="B512" s="10" t="s">
        <v>1390</v>
      </c>
      <c r="C512" s="76"/>
      <c r="E512" s="74">
        <f t="shared" si="8"/>
        <v>0</v>
      </c>
      <c r="G512" s="74">
        <v>0</v>
      </c>
      <c r="I512" s="137"/>
    </row>
    <row r="513" spans="1:9">
      <c r="A513" s="4">
        <v>509</v>
      </c>
      <c r="B513" s="10" t="s">
        <v>1391</v>
      </c>
      <c r="C513" s="76"/>
      <c r="E513" s="74">
        <f t="shared" si="8"/>
        <v>0</v>
      </c>
      <c r="G513" s="74">
        <v>0</v>
      </c>
      <c r="I513" s="137"/>
    </row>
    <row r="514" spans="1:9">
      <c r="A514" s="4">
        <v>510</v>
      </c>
      <c r="B514" s="10" t="s">
        <v>1392</v>
      </c>
      <c r="C514" s="76"/>
      <c r="E514" s="74">
        <f t="shared" si="8"/>
        <v>0</v>
      </c>
      <c r="G514" s="74">
        <v>0</v>
      </c>
      <c r="I514" s="137"/>
    </row>
    <row r="515" spans="1:9">
      <c r="A515" s="4">
        <v>511</v>
      </c>
      <c r="B515" s="10" t="s">
        <v>1393</v>
      </c>
      <c r="C515" s="76"/>
      <c r="E515" s="74">
        <f t="shared" si="8"/>
        <v>0</v>
      </c>
      <c r="G515" s="74">
        <v>0</v>
      </c>
      <c r="I515" s="137"/>
    </row>
    <row r="516" spans="1:9">
      <c r="A516" s="4">
        <v>512</v>
      </c>
      <c r="B516" s="10" t="s">
        <v>1394</v>
      </c>
      <c r="C516" s="76"/>
      <c r="E516" s="74">
        <f t="shared" si="8"/>
        <v>0</v>
      </c>
      <c r="G516" s="74">
        <v>0</v>
      </c>
      <c r="I516" s="137"/>
    </row>
    <row r="517" spans="1:9">
      <c r="A517" s="4">
        <v>513</v>
      </c>
      <c r="B517" s="10" t="s">
        <v>1395</v>
      </c>
      <c r="C517" s="76"/>
      <c r="E517" s="74">
        <f t="shared" si="8"/>
        <v>0</v>
      </c>
      <c r="G517" s="74">
        <v>0</v>
      </c>
      <c r="I517" s="137"/>
    </row>
    <row r="518" spans="1:9">
      <c r="A518" s="4">
        <v>514</v>
      </c>
      <c r="B518" s="10" t="s">
        <v>1396</v>
      </c>
      <c r="C518" s="76"/>
      <c r="E518" s="74">
        <f t="shared" si="8"/>
        <v>0</v>
      </c>
      <c r="G518" s="74">
        <v>0</v>
      </c>
      <c r="I518" s="137"/>
    </row>
    <row r="519" spans="1:9">
      <c r="A519" s="4">
        <v>515</v>
      </c>
      <c r="B519" s="10" t="s">
        <v>1397</v>
      </c>
      <c r="C519" s="76"/>
      <c r="E519" s="74">
        <f t="shared" si="8"/>
        <v>0</v>
      </c>
      <c r="G519" s="74">
        <v>0</v>
      </c>
      <c r="I519" s="137"/>
    </row>
    <row r="520" spans="1:9">
      <c r="A520" s="4">
        <v>516</v>
      </c>
      <c r="B520" s="10" t="s">
        <v>1398</v>
      </c>
      <c r="C520" s="76"/>
      <c r="E520" s="74">
        <f t="shared" ref="E520:E583" si="9">+G520*$E$2*$E$3*$E$4</f>
        <v>0</v>
      </c>
      <c r="G520" s="74">
        <v>0</v>
      </c>
      <c r="I520" s="137"/>
    </row>
    <row r="521" spans="1:9">
      <c r="A521" s="4">
        <v>517</v>
      </c>
      <c r="B521" s="10" t="s">
        <v>1399</v>
      </c>
      <c r="C521" s="76"/>
      <c r="E521" s="74">
        <f t="shared" si="9"/>
        <v>0</v>
      </c>
      <c r="G521" s="74">
        <v>0</v>
      </c>
      <c r="I521" s="137"/>
    </row>
    <row r="522" spans="1:9">
      <c r="A522" s="4">
        <v>518</v>
      </c>
      <c r="B522" s="10" t="s">
        <v>1400</v>
      </c>
      <c r="C522" s="76"/>
      <c r="E522" s="74">
        <f t="shared" si="9"/>
        <v>0</v>
      </c>
      <c r="G522" s="74">
        <v>0</v>
      </c>
      <c r="I522" s="137"/>
    </row>
    <row r="523" spans="1:9">
      <c r="A523" s="4">
        <v>519</v>
      </c>
      <c r="B523" s="10" t="s">
        <v>1401</v>
      </c>
      <c r="C523" s="76"/>
      <c r="E523" s="74">
        <f t="shared" si="9"/>
        <v>0</v>
      </c>
      <c r="G523" s="74">
        <v>0</v>
      </c>
      <c r="I523" s="137"/>
    </row>
    <row r="524" spans="1:9">
      <c r="A524" s="4">
        <v>520</v>
      </c>
      <c r="B524" s="10" t="s">
        <v>1402</v>
      </c>
      <c r="C524" s="76"/>
      <c r="E524" s="74">
        <f t="shared" si="9"/>
        <v>0</v>
      </c>
      <c r="G524" s="74">
        <v>0</v>
      </c>
      <c r="I524" s="137"/>
    </row>
    <row r="525" spans="1:9">
      <c r="A525" s="4">
        <v>521</v>
      </c>
      <c r="B525" s="10" t="s">
        <v>1403</v>
      </c>
      <c r="C525" s="76"/>
      <c r="E525" s="74">
        <f t="shared" si="9"/>
        <v>0</v>
      </c>
      <c r="G525" s="74">
        <v>0</v>
      </c>
      <c r="I525" s="137"/>
    </row>
    <row r="526" spans="1:9">
      <c r="A526" s="4">
        <v>522</v>
      </c>
      <c r="B526" s="10" t="s">
        <v>1404</v>
      </c>
      <c r="C526" s="76"/>
      <c r="E526" s="74">
        <f t="shared" si="9"/>
        <v>0</v>
      </c>
      <c r="G526" s="74">
        <v>0</v>
      </c>
      <c r="I526" s="137"/>
    </row>
    <row r="527" spans="1:9">
      <c r="A527" s="4">
        <v>523</v>
      </c>
      <c r="B527" s="10" t="s">
        <v>1405</v>
      </c>
      <c r="C527" s="76"/>
      <c r="E527" s="74">
        <f t="shared" si="9"/>
        <v>0</v>
      </c>
      <c r="G527" s="74">
        <v>0</v>
      </c>
      <c r="I527" s="137"/>
    </row>
    <row r="528" spans="1:9">
      <c r="A528" s="4">
        <v>524</v>
      </c>
      <c r="B528" s="10" t="s">
        <v>1406</v>
      </c>
      <c r="C528" s="76"/>
      <c r="E528" s="74">
        <f t="shared" si="9"/>
        <v>0</v>
      </c>
      <c r="G528" s="74">
        <v>0</v>
      </c>
      <c r="I528" s="137"/>
    </row>
    <row r="529" spans="1:9">
      <c r="A529" s="4">
        <v>525</v>
      </c>
      <c r="B529" s="10" t="s">
        <v>1407</v>
      </c>
      <c r="C529" s="76"/>
      <c r="E529" s="74">
        <f t="shared" si="9"/>
        <v>0</v>
      </c>
      <c r="G529" s="74">
        <v>0</v>
      </c>
      <c r="I529" s="137"/>
    </row>
    <row r="530" spans="1:9">
      <c r="A530" s="4">
        <v>526</v>
      </c>
      <c r="B530" s="10" t="s">
        <v>1408</v>
      </c>
      <c r="C530" s="76"/>
      <c r="E530" s="74">
        <f t="shared" si="9"/>
        <v>0</v>
      </c>
      <c r="G530" s="74">
        <v>0</v>
      </c>
      <c r="I530" s="137"/>
    </row>
    <row r="531" spans="1:9">
      <c r="A531" s="4">
        <v>527</v>
      </c>
      <c r="B531" s="10" t="s">
        <v>1409</v>
      </c>
      <c r="C531" s="76"/>
      <c r="E531" s="74">
        <f t="shared" si="9"/>
        <v>0</v>
      </c>
      <c r="G531" s="74">
        <v>0</v>
      </c>
      <c r="I531" s="137"/>
    </row>
    <row r="532" spans="1:9">
      <c r="A532" s="4">
        <v>528</v>
      </c>
      <c r="B532" s="10" t="s">
        <v>1410</v>
      </c>
      <c r="C532" s="76"/>
      <c r="E532" s="74">
        <f t="shared" si="9"/>
        <v>0</v>
      </c>
      <c r="G532" s="74">
        <v>0</v>
      </c>
      <c r="I532" s="137"/>
    </row>
    <row r="533" spans="1:9">
      <c r="A533" s="4">
        <v>529</v>
      </c>
      <c r="B533" s="10" t="s">
        <v>1411</v>
      </c>
      <c r="C533" s="76"/>
      <c r="E533" s="74">
        <f t="shared" si="9"/>
        <v>0</v>
      </c>
      <c r="G533" s="74">
        <v>0</v>
      </c>
      <c r="I533" s="137"/>
    </row>
    <row r="534" spans="1:9">
      <c r="A534" s="4">
        <v>530</v>
      </c>
      <c r="B534" s="10" t="s">
        <v>1412</v>
      </c>
      <c r="C534" s="76"/>
      <c r="E534" s="74">
        <f t="shared" si="9"/>
        <v>0</v>
      </c>
      <c r="G534" s="74">
        <v>0</v>
      </c>
      <c r="I534" s="137"/>
    </row>
    <row r="535" spans="1:9">
      <c r="A535" s="4">
        <v>531</v>
      </c>
      <c r="B535" s="10" t="s">
        <v>1413</v>
      </c>
      <c r="C535" s="76"/>
      <c r="E535" s="74">
        <f t="shared" si="9"/>
        <v>0</v>
      </c>
      <c r="G535" s="74">
        <v>0</v>
      </c>
      <c r="I535" s="137"/>
    </row>
    <row r="536" spans="1:9">
      <c r="A536" s="4">
        <v>532</v>
      </c>
      <c r="B536" s="10" t="s">
        <v>1414</v>
      </c>
      <c r="C536" s="76"/>
      <c r="E536" s="74">
        <f t="shared" si="9"/>
        <v>0</v>
      </c>
      <c r="G536" s="74">
        <v>0</v>
      </c>
      <c r="I536" s="137"/>
    </row>
    <row r="537" spans="1:9">
      <c r="A537" s="4">
        <v>533</v>
      </c>
      <c r="B537" s="10" t="s">
        <v>1415</v>
      </c>
      <c r="C537" s="76"/>
      <c r="E537" s="74">
        <f t="shared" si="9"/>
        <v>0</v>
      </c>
      <c r="G537" s="74">
        <v>0</v>
      </c>
      <c r="I537" s="137"/>
    </row>
    <row r="538" spans="1:9">
      <c r="A538" s="4">
        <v>534</v>
      </c>
      <c r="B538" s="10" t="s">
        <v>1416</v>
      </c>
      <c r="C538" s="76"/>
      <c r="E538" s="74">
        <f t="shared" si="9"/>
        <v>0</v>
      </c>
      <c r="G538" s="74">
        <v>0</v>
      </c>
      <c r="I538" s="137"/>
    </row>
    <row r="539" spans="1:9">
      <c r="A539" s="4">
        <v>535</v>
      </c>
      <c r="B539" s="10" t="s">
        <v>1417</v>
      </c>
      <c r="C539" s="76"/>
      <c r="E539" s="74">
        <f t="shared" si="9"/>
        <v>0</v>
      </c>
      <c r="G539" s="74">
        <v>0</v>
      </c>
      <c r="I539" s="137"/>
    </row>
    <row r="540" spans="1:9">
      <c r="A540" s="4">
        <v>536</v>
      </c>
      <c r="B540" s="10" t="s">
        <v>1418</v>
      </c>
      <c r="C540" s="76"/>
      <c r="E540" s="74">
        <f t="shared" si="9"/>
        <v>0</v>
      </c>
      <c r="G540" s="74">
        <v>0</v>
      </c>
      <c r="I540" s="137"/>
    </row>
    <row r="541" spans="1:9">
      <c r="A541" s="4">
        <v>537</v>
      </c>
      <c r="B541" s="10" t="s">
        <v>1419</v>
      </c>
      <c r="C541" s="76"/>
      <c r="E541" s="74">
        <f t="shared" si="9"/>
        <v>0</v>
      </c>
      <c r="G541" s="74">
        <v>0</v>
      </c>
      <c r="I541" s="137"/>
    </row>
    <row r="542" spans="1:9">
      <c r="A542" s="4">
        <v>538</v>
      </c>
      <c r="B542" s="10" t="s">
        <v>1420</v>
      </c>
      <c r="C542" s="76"/>
      <c r="E542" s="74">
        <f t="shared" si="9"/>
        <v>0</v>
      </c>
      <c r="G542" s="74">
        <v>0</v>
      </c>
      <c r="I542" s="137"/>
    </row>
    <row r="543" spans="1:9">
      <c r="A543" s="4">
        <v>539</v>
      </c>
      <c r="B543" s="10" t="s">
        <v>1421</v>
      </c>
      <c r="C543" s="76"/>
      <c r="E543" s="74">
        <f t="shared" si="9"/>
        <v>0</v>
      </c>
      <c r="G543" s="74">
        <v>0</v>
      </c>
      <c r="I543" s="137"/>
    </row>
    <row r="544" spans="1:9">
      <c r="A544" s="4">
        <v>540</v>
      </c>
      <c r="B544" s="10" t="s">
        <v>1422</v>
      </c>
      <c r="C544" s="76"/>
      <c r="E544" s="74">
        <f t="shared" si="9"/>
        <v>0</v>
      </c>
      <c r="G544" s="74">
        <v>0</v>
      </c>
      <c r="I544" s="137"/>
    </row>
    <row r="545" spans="1:9">
      <c r="A545" s="4">
        <v>541</v>
      </c>
      <c r="B545" s="10" t="s">
        <v>1423</v>
      </c>
      <c r="C545" s="76"/>
      <c r="E545" s="74">
        <f t="shared" si="9"/>
        <v>0</v>
      </c>
      <c r="G545" s="74">
        <v>0</v>
      </c>
      <c r="I545" s="137"/>
    </row>
    <row r="546" spans="1:9">
      <c r="A546" s="4">
        <v>542</v>
      </c>
      <c r="B546" s="10" t="s">
        <v>1424</v>
      </c>
      <c r="C546" s="76"/>
      <c r="E546" s="74">
        <f t="shared" si="9"/>
        <v>0</v>
      </c>
      <c r="G546" s="74">
        <v>0</v>
      </c>
      <c r="I546" s="137"/>
    </row>
    <row r="547" spans="1:9">
      <c r="A547" s="4">
        <v>543</v>
      </c>
      <c r="B547" s="10" t="s">
        <v>1425</v>
      </c>
      <c r="C547" s="76"/>
      <c r="E547" s="74">
        <f t="shared" si="9"/>
        <v>0</v>
      </c>
      <c r="G547" s="74">
        <v>0</v>
      </c>
      <c r="I547" s="137"/>
    </row>
    <row r="548" spans="1:9">
      <c r="A548" s="4">
        <v>544</v>
      </c>
      <c r="B548" s="10" t="s">
        <v>1426</v>
      </c>
      <c r="C548" s="76"/>
      <c r="E548" s="74">
        <f t="shared" si="9"/>
        <v>0</v>
      </c>
      <c r="G548" s="74">
        <v>0</v>
      </c>
      <c r="I548" s="137"/>
    </row>
    <row r="549" spans="1:9">
      <c r="A549" s="4">
        <v>545</v>
      </c>
      <c r="B549" s="10" t="s">
        <v>1427</v>
      </c>
      <c r="C549" s="76"/>
      <c r="E549" s="74">
        <f t="shared" si="9"/>
        <v>0</v>
      </c>
      <c r="G549" s="74">
        <v>0</v>
      </c>
      <c r="I549" s="137"/>
    </row>
    <row r="550" spans="1:9">
      <c r="A550" s="4">
        <v>546</v>
      </c>
      <c r="B550" s="10" t="s">
        <v>1428</v>
      </c>
      <c r="C550" s="76"/>
      <c r="E550" s="74">
        <f t="shared" si="9"/>
        <v>0</v>
      </c>
      <c r="G550" s="74">
        <v>0</v>
      </c>
      <c r="I550" s="137"/>
    </row>
    <row r="551" spans="1:9">
      <c r="A551" s="4">
        <v>547</v>
      </c>
      <c r="B551" s="10" t="s">
        <v>1429</v>
      </c>
      <c r="C551" s="76"/>
      <c r="E551" s="74">
        <f t="shared" si="9"/>
        <v>0</v>
      </c>
      <c r="G551" s="74">
        <v>0</v>
      </c>
      <c r="I551" s="137"/>
    </row>
    <row r="552" spans="1:9">
      <c r="A552" s="4">
        <v>548</v>
      </c>
      <c r="B552" s="10" t="s">
        <v>1430</v>
      </c>
      <c r="C552" s="76"/>
      <c r="E552" s="74">
        <f t="shared" si="9"/>
        <v>0</v>
      </c>
      <c r="G552" s="74">
        <v>0</v>
      </c>
      <c r="I552" s="137"/>
    </row>
    <row r="553" spans="1:9">
      <c r="A553" s="4">
        <v>549</v>
      </c>
      <c r="B553" s="10" t="s">
        <v>1431</v>
      </c>
      <c r="C553" s="76"/>
      <c r="E553" s="74">
        <f t="shared" si="9"/>
        <v>0</v>
      </c>
      <c r="G553" s="74">
        <v>0</v>
      </c>
      <c r="I553" s="137"/>
    </row>
    <row r="554" spans="1:9">
      <c r="A554" s="4">
        <v>550</v>
      </c>
      <c r="B554" s="10" t="s">
        <v>1432</v>
      </c>
      <c r="C554" s="76"/>
      <c r="E554" s="74">
        <f t="shared" si="9"/>
        <v>0</v>
      </c>
      <c r="G554" s="74">
        <v>0</v>
      </c>
      <c r="I554" s="137"/>
    </row>
    <row r="555" spans="1:9">
      <c r="A555" s="4">
        <v>551</v>
      </c>
      <c r="B555" s="10" t="s">
        <v>1433</v>
      </c>
      <c r="C555" s="76"/>
      <c r="E555" s="74">
        <f t="shared" si="9"/>
        <v>0</v>
      </c>
      <c r="G555" s="74">
        <v>0</v>
      </c>
      <c r="I555" s="137"/>
    </row>
    <row r="556" spans="1:9">
      <c r="A556" s="4">
        <v>552</v>
      </c>
      <c r="B556" s="10" t="s">
        <v>1434</v>
      </c>
      <c r="C556" s="76"/>
      <c r="E556" s="74">
        <f t="shared" si="9"/>
        <v>0</v>
      </c>
      <c r="G556" s="74">
        <v>0</v>
      </c>
      <c r="I556" s="137"/>
    </row>
    <row r="557" spans="1:9">
      <c r="A557" s="4">
        <v>553</v>
      </c>
      <c r="B557" s="10" t="s">
        <v>1435</v>
      </c>
      <c r="C557" s="76"/>
      <c r="E557" s="74">
        <f t="shared" si="9"/>
        <v>0</v>
      </c>
      <c r="G557" s="74">
        <v>0</v>
      </c>
      <c r="I557" s="137"/>
    </row>
    <row r="558" spans="1:9">
      <c r="A558" s="4">
        <v>554</v>
      </c>
      <c r="B558" s="10" t="s">
        <v>1436</v>
      </c>
      <c r="C558" s="76"/>
      <c r="E558" s="74">
        <f t="shared" si="9"/>
        <v>0</v>
      </c>
      <c r="G558" s="74">
        <v>0</v>
      </c>
      <c r="I558" s="137"/>
    </row>
    <row r="559" spans="1:9">
      <c r="A559" s="4">
        <v>555</v>
      </c>
      <c r="B559" s="10" t="s">
        <v>1437</v>
      </c>
      <c r="C559" s="76"/>
      <c r="E559" s="74">
        <f t="shared" si="9"/>
        <v>0</v>
      </c>
      <c r="G559" s="74">
        <v>0</v>
      </c>
      <c r="I559" s="137"/>
    </row>
    <row r="560" spans="1:9">
      <c r="A560" s="4">
        <v>556</v>
      </c>
      <c r="B560" s="10" t="s">
        <v>1438</v>
      </c>
      <c r="C560" s="76"/>
      <c r="E560" s="74">
        <f t="shared" si="9"/>
        <v>0</v>
      </c>
      <c r="G560" s="74">
        <v>0</v>
      </c>
      <c r="I560" s="137"/>
    </row>
    <row r="561" spans="1:9">
      <c r="A561" s="4">
        <v>557</v>
      </c>
      <c r="B561" s="10" t="s">
        <v>1439</v>
      </c>
      <c r="C561" s="76"/>
      <c r="E561" s="74">
        <f t="shared" si="9"/>
        <v>0</v>
      </c>
      <c r="G561" s="74">
        <v>0</v>
      </c>
      <c r="I561" s="137"/>
    </row>
    <row r="562" spans="1:9">
      <c r="A562" s="4">
        <v>558</v>
      </c>
      <c r="B562" s="10" t="s">
        <v>1440</v>
      </c>
      <c r="C562" s="76"/>
      <c r="E562" s="74">
        <f t="shared" si="9"/>
        <v>0</v>
      </c>
      <c r="G562" s="74">
        <v>0</v>
      </c>
      <c r="I562" s="137"/>
    </row>
    <row r="563" spans="1:9">
      <c r="A563" s="4">
        <v>559</v>
      </c>
      <c r="B563" s="10" t="s">
        <v>1441</v>
      </c>
      <c r="C563" s="76"/>
      <c r="E563" s="74">
        <f t="shared" si="9"/>
        <v>0</v>
      </c>
      <c r="G563" s="74">
        <v>0</v>
      </c>
      <c r="I563" s="137"/>
    </row>
    <row r="564" spans="1:9">
      <c r="A564" s="4">
        <v>560</v>
      </c>
      <c r="B564" s="10" t="s">
        <v>1442</v>
      </c>
      <c r="C564" s="76"/>
      <c r="E564" s="74">
        <f t="shared" si="9"/>
        <v>0</v>
      </c>
      <c r="G564" s="74">
        <v>0</v>
      </c>
      <c r="I564" s="137"/>
    </row>
    <row r="565" spans="1:9">
      <c r="A565" s="4">
        <v>561</v>
      </c>
      <c r="B565" s="10" t="s">
        <v>1443</v>
      </c>
      <c r="C565" s="76"/>
      <c r="E565" s="74">
        <f t="shared" si="9"/>
        <v>0</v>
      </c>
      <c r="G565" s="74">
        <v>0</v>
      </c>
      <c r="I565" s="137"/>
    </row>
    <row r="566" spans="1:9">
      <c r="A566" s="4">
        <v>562</v>
      </c>
      <c r="B566" s="10" t="s">
        <v>1444</v>
      </c>
      <c r="C566" s="76"/>
      <c r="E566" s="74">
        <f t="shared" si="9"/>
        <v>0</v>
      </c>
      <c r="G566" s="74">
        <v>0</v>
      </c>
      <c r="I566" s="137"/>
    </row>
    <row r="567" spans="1:9">
      <c r="A567" s="4">
        <v>563</v>
      </c>
      <c r="B567" s="10" t="s">
        <v>1445</v>
      </c>
      <c r="C567" s="76"/>
      <c r="E567" s="74">
        <f t="shared" si="9"/>
        <v>0</v>
      </c>
      <c r="G567" s="74">
        <v>0</v>
      </c>
      <c r="I567" s="137"/>
    </row>
    <row r="568" spans="1:9">
      <c r="A568" s="4">
        <v>564</v>
      </c>
      <c r="B568" s="10" t="s">
        <v>1446</v>
      </c>
      <c r="C568" s="76"/>
      <c r="E568" s="74">
        <f t="shared" si="9"/>
        <v>0</v>
      </c>
      <c r="G568" s="74">
        <v>0</v>
      </c>
      <c r="I568" s="137"/>
    </row>
    <row r="569" spans="1:9">
      <c r="A569" s="4">
        <v>565</v>
      </c>
      <c r="B569" s="10" t="s">
        <v>1447</v>
      </c>
      <c r="C569" s="76"/>
      <c r="E569" s="74">
        <f t="shared" si="9"/>
        <v>0</v>
      </c>
      <c r="G569" s="74">
        <v>0</v>
      </c>
      <c r="I569" s="137"/>
    </row>
    <row r="570" spans="1:9">
      <c r="A570" s="4">
        <v>566</v>
      </c>
      <c r="B570" s="10" t="s">
        <v>1448</v>
      </c>
      <c r="C570" s="76"/>
      <c r="E570" s="74">
        <f t="shared" si="9"/>
        <v>0</v>
      </c>
      <c r="G570" s="74">
        <v>0</v>
      </c>
      <c r="I570" s="137"/>
    </row>
    <row r="571" spans="1:9">
      <c r="A571" s="4">
        <v>567</v>
      </c>
      <c r="B571" s="10" t="s">
        <v>1449</v>
      </c>
      <c r="C571" s="76"/>
      <c r="E571" s="74">
        <f t="shared" si="9"/>
        <v>0</v>
      </c>
      <c r="G571" s="74">
        <v>0</v>
      </c>
      <c r="I571" s="137"/>
    </row>
    <row r="572" spans="1:9">
      <c r="A572" s="4">
        <v>568</v>
      </c>
      <c r="B572" s="10" t="s">
        <v>1450</v>
      </c>
      <c r="C572" s="76"/>
      <c r="E572" s="74">
        <f t="shared" si="9"/>
        <v>0</v>
      </c>
      <c r="G572" s="74">
        <v>0</v>
      </c>
      <c r="I572" s="137"/>
    </row>
    <row r="573" spans="1:9">
      <c r="A573" s="4">
        <v>569</v>
      </c>
      <c r="B573" s="10" t="s">
        <v>1451</v>
      </c>
      <c r="C573" s="76"/>
      <c r="E573" s="74">
        <f t="shared" si="9"/>
        <v>0</v>
      </c>
      <c r="G573" s="74">
        <v>0</v>
      </c>
      <c r="I573" s="137"/>
    </row>
    <row r="574" spans="1:9">
      <c r="A574" s="4">
        <v>570</v>
      </c>
      <c r="B574" s="10" t="s">
        <v>1452</v>
      </c>
      <c r="C574" s="76"/>
      <c r="E574" s="74">
        <f t="shared" si="9"/>
        <v>0</v>
      </c>
      <c r="G574" s="74">
        <v>0</v>
      </c>
      <c r="I574" s="137"/>
    </row>
    <row r="575" spans="1:9">
      <c r="A575" s="4">
        <v>571</v>
      </c>
      <c r="B575" s="10" t="s">
        <v>1453</v>
      </c>
      <c r="C575" s="76"/>
      <c r="E575" s="74">
        <f t="shared" si="9"/>
        <v>0</v>
      </c>
      <c r="G575" s="74">
        <v>0</v>
      </c>
      <c r="I575" s="137"/>
    </row>
    <row r="576" spans="1:9">
      <c r="A576" s="4">
        <v>572</v>
      </c>
      <c r="B576" s="10" t="s">
        <v>1454</v>
      </c>
      <c r="C576" s="76"/>
      <c r="E576" s="74">
        <f t="shared" si="9"/>
        <v>0</v>
      </c>
      <c r="G576" s="74">
        <v>0</v>
      </c>
      <c r="I576" s="137"/>
    </row>
    <row r="577" spans="1:9">
      <c r="A577" s="4">
        <v>573</v>
      </c>
      <c r="B577" s="10" t="s">
        <v>1455</v>
      </c>
      <c r="C577" s="76"/>
      <c r="E577" s="74">
        <f t="shared" si="9"/>
        <v>0</v>
      </c>
      <c r="G577" s="74">
        <v>0</v>
      </c>
      <c r="I577" s="137"/>
    </row>
    <row r="578" spans="1:9">
      <c r="A578" s="4">
        <v>574</v>
      </c>
      <c r="B578" s="10" t="s">
        <v>1456</v>
      </c>
      <c r="C578" s="76"/>
      <c r="E578" s="74">
        <f t="shared" si="9"/>
        <v>0</v>
      </c>
      <c r="G578" s="74">
        <v>0</v>
      </c>
      <c r="I578" s="137"/>
    </row>
    <row r="579" spans="1:9">
      <c r="A579" s="4">
        <v>575</v>
      </c>
      <c r="B579" s="10" t="s">
        <v>1457</v>
      </c>
      <c r="C579" s="76"/>
      <c r="E579" s="74">
        <f t="shared" si="9"/>
        <v>0</v>
      </c>
      <c r="G579" s="74">
        <v>0</v>
      </c>
      <c r="I579" s="137"/>
    </row>
    <row r="580" spans="1:9">
      <c r="A580" s="4">
        <v>576</v>
      </c>
      <c r="B580" s="10" t="s">
        <v>1458</v>
      </c>
      <c r="C580" s="76"/>
      <c r="E580" s="74">
        <f t="shared" si="9"/>
        <v>0</v>
      </c>
      <c r="G580" s="74">
        <v>0</v>
      </c>
      <c r="I580" s="137"/>
    </row>
    <row r="581" spans="1:9">
      <c r="A581" s="4">
        <v>577</v>
      </c>
      <c r="B581" s="10" t="s">
        <v>1459</v>
      </c>
      <c r="C581" s="76"/>
      <c r="E581" s="74">
        <f t="shared" si="9"/>
        <v>0</v>
      </c>
      <c r="G581" s="74">
        <v>0</v>
      </c>
      <c r="I581" s="137"/>
    </row>
    <row r="582" spans="1:9">
      <c r="A582" s="4">
        <v>578</v>
      </c>
      <c r="B582" s="10" t="s">
        <v>1460</v>
      </c>
      <c r="C582" s="76"/>
      <c r="E582" s="74">
        <f t="shared" si="9"/>
        <v>0</v>
      </c>
      <c r="G582" s="74">
        <v>0</v>
      </c>
      <c r="I582" s="137"/>
    </row>
    <row r="583" spans="1:9">
      <c r="A583" s="4">
        <v>579</v>
      </c>
      <c r="B583" s="10" t="s">
        <v>1461</v>
      </c>
      <c r="C583" s="76"/>
      <c r="E583" s="74">
        <f t="shared" si="9"/>
        <v>0</v>
      </c>
      <c r="G583" s="74">
        <v>0</v>
      </c>
      <c r="I583" s="137"/>
    </row>
    <row r="584" spans="1:9">
      <c r="A584" s="4">
        <v>580</v>
      </c>
      <c r="B584" s="10" t="s">
        <v>1462</v>
      </c>
      <c r="C584" s="76"/>
      <c r="E584" s="74">
        <f t="shared" ref="E584:E645" si="10">+G584*$E$2*$E$3*$E$4</f>
        <v>0</v>
      </c>
      <c r="G584" s="74">
        <v>0</v>
      </c>
      <c r="I584" s="137"/>
    </row>
    <row r="585" spans="1:9">
      <c r="A585" s="4">
        <v>581</v>
      </c>
      <c r="B585" s="10" t="s">
        <v>1463</v>
      </c>
      <c r="C585" s="76"/>
      <c r="E585" s="74">
        <f t="shared" si="10"/>
        <v>0</v>
      </c>
      <c r="G585" s="74">
        <v>0</v>
      </c>
      <c r="I585" s="137"/>
    </row>
    <row r="586" spans="1:9">
      <c r="A586" s="4">
        <v>582</v>
      </c>
      <c r="B586" s="10" t="s">
        <v>1464</v>
      </c>
      <c r="C586" s="76"/>
      <c r="E586" s="74">
        <f t="shared" si="10"/>
        <v>0</v>
      </c>
      <c r="G586" s="74">
        <v>0</v>
      </c>
      <c r="I586" s="137"/>
    </row>
    <row r="587" spans="1:9">
      <c r="A587" s="4">
        <v>583</v>
      </c>
      <c r="B587" s="10" t="s">
        <v>1465</v>
      </c>
      <c r="C587" s="76"/>
      <c r="E587" s="74">
        <f t="shared" si="10"/>
        <v>0</v>
      </c>
      <c r="G587" s="74">
        <v>0</v>
      </c>
      <c r="I587" s="137"/>
    </row>
    <row r="588" spans="1:9">
      <c r="A588" s="4">
        <v>584</v>
      </c>
      <c r="B588" s="10" t="s">
        <v>1466</v>
      </c>
      <c r="C588" s="76"/>
      <c r="E588" s="74">
        <f t="shared" si="10"/>
        <v>0</v>
      </c>
      <c r="G588" s="74">
        <v>0</v>
      </c>
      <c r="I588" s="137"/>
    </row>
    <row r="589" spans="1:9">
      <c r="A589" s="4">
        <v>585</v>
      </c>
      <c r="B589" s="10" t="s">
        <v>1467</v>
      </c>
      <c r="C589" s="76"/>
      <c r="E589" s="74">
        <f t="shared" si="10"/>
        <v>0</v>
      </c>
      <c r="G589" s="74">
        <v>0</v>
      </c>
      <c r="I589" s="137"/>
    </row>
    <row r="590" spans="1:9">
      <c r="A590" s="4">
        <v>586</v>
      </c>
      <c r="B590" s="10" t="s">
        <v>1468</v>
      </c>
      <c r="C590" s="76"/>
      <c r="E590" s="74">
        <f t="shared" si="10"/>
        <v>0</v>
      </c>
      <c r="G590" s="74">
        <v>0</v>
      </c>
      <c r="I590" s="137"/>
    </row>
    <row r="591" spans="1:9">
      <c r="A591" s="4">
        <v>587</v>
      </c>
      <c r="B591" s="10" t="s">
        <v>1469</v>
      </c>
      <c r="C591" s="76"/>
      <c r="E591" s="74">
        <f t="shared" si="10"/>
        <v>0</v>
      </c>
      <c r="G591" s="74">
        <v>0</v>
      </c>
      <c r="I591" s="137"/>
    </row>
    <row r="592" spans="1:9">
      <c r="A592" s="4">
        <v>588</v>
      </c>
      <c r="B592" s="10" t="s">
        <v>1470</v>
      </c>
      <c r="C592" s="76"/>
      <c r="E592" s="74">
        <f t="shared" si="10"/>
        <v>0</v>
      </c>
      <c r="G592" s="74">
        <v>0</v>
      </c>
      <c r="I592" s="137"/>
    </row>
    <row r="593" spans="1:9">
      <c r="A593" s="4">
        <v>589</v>
      </c>
      <c r="B593" s="10" t="s">
        <v>1471</v>
      </c>
      <c r="C593" s="76"/>
      <c r="E593" s="74">
        <f t="shared" si="10"/>
        <v>0</v>
      </c>
      <c r="G593" s="74">
        <v>0</v>
      </c>
      <c r="I593" s="137"/>
    </row>
    <row r="594" spans="1:9">
      <c r="A594" s="4">
        <v>590</v>
      </c>
      <c r="B594" s="10" t="s">
        <v>1472</v>
      </c>
      <c r="C594" s="76"/>
      <c r="E594" s="74">
        <f t="shared" si="10"/>
        <v>0</v>
      </c>
      <c r="G594" s="74">
        <v>0</v>
      </c>
      <c r="I594" s="137"/>
    </row>
    <row r="595" spans="1:9">
      <c r="A595" s="4">
        <v>591</v>
      </c>
      <c r="B595" s="10" t="s">
        <v>1473</v>
      </c>
      <c r="C595" s="76"/>
      <c r="E595" s="74">
        <f t="shared" si="10"/>
        <v>0</v>
      </c>
      <c r="G595" s="74">
        <v>0</v>
      </c>
      <c r="I595" s="137"/>
    </row>
    <row r="596" spans="1:9">
      <c r="A596" s="4">
        <v>592</v>
      </c>
      <c r="B596" s="10" t="s">
        <v>1474</v>
      </c>
      <c r="C596" s="76"/>
      <c r="E596" s="74">
        <f t="shared" si="10"/>
        <v>0</v>
      </c>
      <c r="G596" s="74">
        <v>0</v>
      </c>
      <c r="I596" s="137"/>
    </row>
    <row r="597" spans="1:9">
      <c r="A597" s="4">
        <v>593</v>
      </c>
      <c r="B597" s="10" t="s">
        <v>1475</v>
      </c>
      <c r="C597" s="76"/>
      <c r="E597" s="74">
        <f t="shared" si="10"/>
        <v>0</v>
      </c>
      <c r="G597" s="74">
        <v>0</v>
      </c>
      <c r="I597" s="137"/>
    </row>
    <row r="598" spans="1:9">
      <c r="A598" s="4">
        <v>594</v>
      </c>
      <c r="B598" s="10" t="s">
        <v>1476</v>
      </c>
      <c r="C598" s="76"/>
      <c r="E598" s="74">
        <f t="shared" si="10"/>
        <v>0</v>
      </c>
      <c r="G598" s="74">
        <v>0</v>
      </c>
      <c r="I598" s="137"/>
    </row>
    <row r="599" spans="1:9">
      <c r="A599" s="4">
        <v>595</v>
      </c>
      <c r="B599" s="10" t="s">
        <v>1477</v>
      </c>
      <c r="C599" s="76"/>
      <c r="E599" s="74">
        <f t="shared" si="10"/>
        <v>0</v>
      </c>
      <c r="G599" s="74">
        <v>0</v>
      </c>
      <c r="I599" s="137"/>
    </row>
    <row r="600" spans="1:9">
      <c r="A600" s="4">
        <v>596</v>
      </c>
      <c r="B600" s="10" t="s">
        <v>1478</v>
      </c>
      <c r="C600" s="76"/>
      <c r="E600" s="74">
        <f t="shared" si="10"/>
        <v>0</v>
      </c>
      <c r="G600" s="74">
        <v>0</v>
      </c>
      <c r="I600" s="137"/>
    </row>
    <row r="601" spans="1:9">
      <c r="A601" s="4">
        <v>597</v>
      </c>
      <c r="B601" s="10" t="s">
        <v>1479</v>
      </c>
      <c r="C601" s="76"/>
      <c r="E601" s="74">
        <f t="shared" si="10"/>
        <v>0</v>
      </c>
      <c r="G601" s="74">
        <v>0</v>
      </c>
      <c r="I601" s="137"/>
    </row>
    <row r="602" spans="1:9">
      <c r="A602" s="4">
        <v>598</v>
      </c>
      <c r="B602" s="10" t="s">
        <v>1480</v>
      </c>
      <c r="C602" s="76"/>
      <c r="E602" s="74">
        <f t="shared" si="10"/>
        <v>0</v>
      </c>
      <c r="G602" s="74">
        <v>0</v>
      </c>
      <c r="I602" s="137"/>
    </row>
    <row r="603" spans="1:9">
      <c r="A603" s="4">
        <v>599</v>
      </c>
      <c r="B603" s="10" t="s">
        <v>1481</v>
      </c>
      <c r="C603" s="76"/>
      <c r="E603" s="74">
        <f t="shared" si="10"/>
        <v>0</v>
      </c>
      <c r="G603" s="74">
        <v>0</v>
      </c>
      <c r="I603" s="137"/>
    </row>
    <row r="604" spans="1:9">
      <c r="A604" s="4">
        <v>600</v>
      </c>
      <c r="B604" s="10" t="s">
        <v>1482</v>
      </c>
      <c r="C604" s="76"/>
      <c r="E604" s="74">
        <f t="shared" si="10"/>
        <v>0</v>
      </c>
      <c r="G604" s="74">
        <v>0</v>
      </c>
      <c r="I604" s="137"/>
    </row>
    <row r="605" spans="1:9">
      <c r="A605" s="4">
        <v>601</v>
      </c>
      <c r="B605" s="10" t="s">
        <v>1483</v>
      </c>
      <c r="C605" s="76"/>
      <c r="E605" s="74">
        <f t="shared" si="10"/>
        <v>0</v>
      </c>
      <c r="G605" s="74">
        <v>0</v>
      </c>
      <c r="I605" s="137"/>
    </row>
    <row r="606" spans="1:9">
      <c r="A606" s="4">
        <v>602</v>
      </c>
      <c r="B606" s="10" t="s">
        <v>1484</v>
      </c>
      <c r="C606" s="76"/>
      <c r="E606" s="74">
        <f t="shared" si="10"/>
        <v>0</v>
      </c>
      <c r="G606" s="74">
        <v>0</v>
      </c>
      <c r="I606" s="137"/>
    </row>
    <row r="607" spans="1:9">
      <c r="A607" s="4">
        <v>603</v>
      </c>
      <c r="B607" s="10" t="s">
        <v>1485</v>
      </c>
      <c r="C607" s="76"/>
      <c r="E607" s="74">
        <f t="shared" si="10"/>
        <v>0</v>
      </c>
      <c r="G607" s="74">
        <v>0</v>
      </c>
      <c r="I607" s="137"/>
    </row>
    <row r="608" spans="1:9">
      <c r="A608" s="4">
        <v>604</v>
      </c>
      <c r="B608" s="10" t="s">
        <v>1486</v>
      </c>
      <c r="C608" s="76"/>
      <c r="E608" s="74">
        <f t="shared" si="10"/>
        <v>0</v>
      </c>
      <c r="G608" s="74">
        <v>0</v>
      </c>
      <c r="I608" s="137"/>
    </row>
    <row r="609" spans="1:9">
      <c r="A609" s="4">
        <v>605</v>
      </c>
      <c r="B609" s="10" t="s">
        <v>1487</v>
      </c>
      <c r="C609" s="76"/>
      <c r="E609" s="74">
        <f t="shared" si="10"/>
        <v>0</v>
      </c>
      <c r="G609" s="74">
        <v>0</v>
      </c>
      <c r="I609" s="137"/>
    </row>
    <row r="610" spans="1:9">
      <c r="A610" s="4">
        <v>606</v>
      </c>
      <c r="B610" s="10" t="s">
        <v>1488</v>
      </c>
      <c r="C610" s="76"/>
      <c r="E610" s="74">
        <f t="shared" si="10"/>
        <v>0</v>
      </c>
      <c r="G610" s="74">
        <v>0</v>
      </c>
      <c r="I610" s="137"/>
    </row>
    <row r="611" spans="1:9">
      <c r="A611" s="4">
        <v>607</v>
      </c>
      <c r="B611" s="10" t="s">
        <v>1489</v>
      </c>
      <c r="C611" s="76"/>
      <c r="E611" s="74">
        <f t="shared" si="10"/>
        <v>0</v>
      </c>
      <c r="G611" s="74">
        <v>0</v>
      </c>
      <c r="I611" s="137"/>
    </row>
    <row r="612" spans="1:9">
      <c r="A612" s="4">
        <v>608</v>
      </c>
      <c r="B612" s="10" t="s">
        <v>1490</v>
      </c>
      <c r="C612" s="76"/>
      <c r="E612" s="74">
        <f t="shared" si="10"/>
        <v>0</v>
      </c>
      <c r="G612" s="74">
        <v>0</v>
      </c>
      <c r="I612" s="137"/>
    </row>
    <row r="613" spans="1:9">
      <c r="A613" s="4">
        <v>609</v>
      </c>
      <c r="B613" s="10" t="s">
        <v>1491</v>
      </c>
      <c r="C613" s="76"/>
      <c r="E613" s="74">
        <f t="shared" si="10"/>
        <v>0</v>
      </c>
      <c r="G613" s="74">
        <v>0</v>
      </c>
      <c r="I613" s="137"/>
    </row>
    <row r="614" spans="1:9">
      <c r="A614" s="4">
        <v>610</v>
      </c>
      <c r="B614" s="10" t="s">
        <v>1492</v>
      </c>
      <c r="C614" s="76"/>
      <c r="E614" s="74">
        <f t="shared" si="10"/>
        <v>0</v>
      </c>
      <c r="G614" s="74">
        <v>0</v>
      </c>
      <c r="I614" s="137"/>
    </row>
    <row r="615" spans="1:9">
      <c r="A615" s="4">
        <v>611</v>
      </c>
      <c r="B615" s="10" t="s">
        <v>1493</v>
      </c>
      <c r="C615" s="76"/>
      <c r="E615" s="74">
        <f t="shared" si="10"/>
        <v>0</v>
      </c>
      <c r="G615" s="74">
        <v>0</v>
      </c>
      <c r="I615" s="137"/>
    </row>
    <row r="616" spans="1:9">
      <c r="A616" s="4">
        <v>612</v>
      </c>
      <c r="B616" s="10" t="s">
        <v>1494</v>
      </c>
      <c r="C616" s="76"/>
      <c r="E616" s="74">
        <f t="shared" si="10"/>
        <v>0</v>
      </c>
      <c r="G616" s="74">
        <v>0</v>
      </c>
      <c r="I616" s="137"/>
    </row>
    <row r="617" spans="1:9">
      <c r="A617" s="4">
        <v>613</v>
      </c>
      <c r="B617" s="10" t="s">
        <v>1495</v>
      </c>
      <c r="C617" s="76"/>
      <c r="E617" s="74">
        <f t="shared" si="10"/>
        <v>0</v>
      </c>
      <c r="G617" s="74">
        <v>0</v>
      </c>
      <c r="I617" s="137"/>
    </row>
    <row r="618" spans="1:9">
      <c r="A618" s="4">
        <v>614</v>
      </c>
      <c r="B618" s="10" t="s">
        <v>1496</v>
      </c>
      <c r="C618" s="76"/>
      <c r="E618" s="74">
        <f t="shared" si="10"/>
        <v>0</v>
      </c>
      <c r="G618" s="74">
        <v>0</v>
      </c>
      <c r="I618" s="137"/>
    </row>
    <row r="619" spans="1:9">
      <c r="A619" s="4">
        <v>615</v>
      </c>
      <c r="B619" s="10" t="s">
        <v>1497</v>
      </c>
      <c r="C619" s="76"/>
      <c r="E619" s="74">
        <f t="shared" si="10"/>
        <v>0</v>
      </c>
      <c r="G619" s="74">
        <v>0</v>
      </c>
      <c r="I619" s="137"/>
    </row>
    <row r="620" spans="1:9">
      <c r="A620" s="4">
        <v>616</v>
      </c>
      <c r="B620" s="10" t="s">
        <v>1498</v>
      </c>
      <c r="C620" s="76"/>
      <c r="E620" s="74">
        <f t="shared" si="10"/>
        <v>0</v>
      </c>
      <c r="G620" s="74">
        <v>0</v>
      </c>
      <c r="I620" s="137"/>
    </row>
    <row r="621" spans="1:9">
      <c r="A621" s="4">
        <v>617</v>
      </c>
      <c r="B621" s="10" t="s">
        <v>1499</v>
      </c>
      <c r="C621" s="76"/>
      <c r="E621" s="74">
        <f t="shared" si="10"/>
        <v>0</v>
      </c>
      <c r="G621" s="74">
        <v>0</v>
      </c>
      <c r="I621" s="137"/>
    </row>
    <row r="622" spans="1:9">
      <c r="A622" s="4">
        <v>618</v>
      </c>
      <c r="B622" s="10" t="s">
        <v>1500</v>
      </c>
      <c r="C622" s="76"/>
      <c r="E622" s="74">
        <f t="shared" si="10"/>
        <v>0</v>
      </c>
      <c r="G622" s="74">
        <v>0</v>
      </c>
      <c r="I622" s="137"/>
    </row>
    <row r="623" spans="1:9">
      <c r="A623" s="4">
        <v>619</v>
      </c>
      <c r="B623" s="10" t="s">
        <v>1501</v>
      </c>
      <c r="C623" s="76"/>
      <c r="E623" s="74">
        <f t="shared" si="10"/>
        <v>0</v>
      </c>
      <c r="G623" s="74">
        <v>0</v>
      </c>
      <c r="I623" s="137"/>
    </row>
    <row r="624" spans="1:9">
      <c r="A624" s="4">
        <v>620</v>
      </c>
      <c r="B624" s="10" t="s">
        <v>1502</v>
      </c>
      <c r="C624" s="76"/>
      <c r="E624" s="74">
        <f t="shared" si="10"/>
        <v>0</v>
      </c>
      <c r="G624" s="74">
        <v>0</v>
      </c>
      <c r="I624" s="137"/>
    </row>
    <row r="625" spans="1:9">
      <c r="A625" s="4">
        <v>621</v>
      </c>
      <c r="B625" s="10" t="s">
        <v>1503</v>
      </c>
      <c r="C625" s="76"/>
      <c r="E625" s="74">
        <f t="shared" si="10"/>
        <v>0</v>
      </c>
      <c r="G625" s="74">
        <v>0</v>
      </c>
      <c r="I625" s="137"/>
    </row>
    <row r="626" spans="1:9">
      <c r="A626" s="4">
        <v>622</v>
      </c>
      <c r="B626" s="10" t="s">
        <v>1504</v>
      </c>
      <c r="C626" s="76"/>
      <c r="E626" s="74">
        <f t="shared" si="10"/>
        <v>0</v>
      </c>
      <c r="G626" s="74">
        <v>0</v>
      </c>
      <c r="I626" s="137"/>
    </row>
    <row r="627" spans="1:9">
      <c r="A627" s="4">
        <v>623</v>
      </c>
      <c r="B627" s="10" t="s">
        <v>1505</v>
      </c>
      <c r="C627" s="76"/>
      <c r="E627" s="74">
        <f t="shared" si="10"/>
        <v>0</v>
      </c>
      <c r="G627" s="74">
        <v>0</v>
      </c>
      <c r="I627" s="137"/>
    </row>
    <row r="628" spans="1:9">
      <c r="A628" s="4">
        <v>624</v>
      </c>
      <c r="B628" s="10" t="s">
        <v>1506</v>
      </c>
      <c r="C628" s="76"/>
      <c r="E628" s="74">
        <f t="shared" si="10"/>
        <v>0</v>
      </c>
      <c r="G628" s="74">
        <v>0</v>
      </c>
      <c r="I628" s="137"/>
    </row>
    <row r="629" spans="1:9">
      <c r="A629" s="4">
        <v>625</v>
      </c>
      <c r="B629" s="10" t="s">
        <v>1507</v>
      </c>
      <c r="C629" s="76"/>
      <c r="E629" s="74">
        <f t="shared" si="10"/>
        <v>0</v>
      </c>
      <c r="G629" s="74">
        <v>0</v>
      </c>
      <c r="I629" s="137"/>
    </row>
    <row r="630" spans="1:9">
      <c r="A630" s="4">
        <v>626</v>
      </c>
      <c r="B630" s="10" t="s">
        <v>1508</v>
      </c>
      <c r="C630" s="76"/>
      <c r="E630" s="74">
        <f t="shared" si="10"/>
        <v>0</v>
      </c>
      <c r="G630" s="74">
        <v>0</v>
      </c>
      <c r="I630" s="137"/>
    </row>
    <row r="631" spans="1:9">
      <c r="A631" s="4">
        <v>627</v>
      </c>
      <c r="B631" s="10" t="s">
        <v>1509</v>
      </c>
      <c r="C631" s="76"/>
      <c r="E631" s="74">
        <f t="shared" si="10"/>
        <v>0</v>
      </c>
      <c r="G631" s="74">
        <v>0</v>
      </c>
      <c r="I631" s="137"/>
    </row>
    <row r="632" spans="1:9">
      <c r="A632" s="4">
        <v>628</v>
      </c>
      <c r="B632" s="10" t="s">
        <v>1510</v>
      </c>
      <c r="C632" s="76"/>
      <c r="E632" s="74">
        <f t="shared" si="10"/>
        <v>0</v>
      </c>
      <c r="G632" s="74">
        <v>0</v>
      </c>
      <c r="I632" s="137"/>
    </row>
    <row r="633" spans="1:9">
      <c r="A633" s="4">
        <v>629</v>
      </c>
      <c r="B633" s="10" t="s">
        <v>1511</v>
      </c>
      <c r="C633" s="76"/>
      <c r="E633" s="74">
        <f t="shared" si="10"/>
        <v>0</v>
      </c>
      <c r="G633" s="74">
        <v>0</v>
      </c>
      <c r="I633" s="137"/>
    </row>
    <row r="634" spans="1:9">
      <c r="A634" s="4">
        <v>630</v>
      </c>
      <c r="B634" s="10" t="s">
        <v>1512</v>
      </c>
      <c r="C634" s="76"/>
      <c r="E634" s="74">
        <f t="shared" si="10"/>
        <v>0</v>
      </c>
      <c r="G634" s="74">
        <v>0</v>
      </c>
      <c r="I634" s="137"/>
    </row>
    <row r="635" spans="1:9">
      <c r="A635" s="4">
        <v>631</v>
      </c>
      <c r="B635" s="10" t="s">
        <v>1513</v>
      </c>
      <c r="C635" s="76"/>
      <c r="E635" s="74">
        <f t="shared" si="10"/>
        <v>0</v>
      </c>
      <c r="G635" s="74">
        <v>0</v>
      </c>
      <c r="I635" s="137"/>
    </row>
    <row r="636" spans="1:9">
      <c r="A636" s="4">
        <v>632</v>
      </c>
      <c r="B636" s="10" t="s">
        <v>1514</v>
      </c>
      <c r="C636" s="76"/>
      <c r="E636" s="74">
        <f t="shared" si="10"/>
        <v>0</v>
      </c>
      <c r="G636" s="74">
        <v>0</v>
      </c>
      <c r="I636" s="137"/>
    </row>
    <row r="637" spans="1:9">
      <c r="A637" s="4">
        <v>633</v>
      </c>
      <c r="B637" s="10" t="s">
        <v>1515</v>
      </c>
      <c r="C637" s="76"/>
      <c r="E637" s="74">
        <f t="shared" si="10"/>
        <v>0</v>
      </c>
      <c r="G637" s="74">
        <v>0</v>
      </c>
      <c r="I637" s="137"/>
    </row>
    <row r="638" spans="1:9">
      <c r="A638" s="4">
        <v>634</v>
      </c>
      <c r="B638" s="10" t="s">
        <v>1516</v>
      </c>
      <c r="C638" s="76"/>
      <c r="E638" s="74">
        <f t="shared" si="10"/>
        <v>0</v>
      </c>
      <c r="G638" s="74">
        <v>0</v>
      </c>
      <c r="I638" s="137"/>
    </row>
    <row r="639" spans="1:9">
      <c r="A639" s="4">
        <v>635</v>
      </c>
      <c r="B639" s="10" t="s">
        <v>1517</v>
      </c>
      <c r="C639" s="76"/>
      <c r="E639" s="74">
        <f t="shared" si="10"/>
        <v>0</v>
      </c>
      <c r="G639" s="74">
        <v>0</v>
      </c>
      <c r="I639" s="137"/>
    </row>
    <row r="640" spans="1:9">
      <c r="A640" s="4">
        <v>636</v>
      </c>
      <c r="B640" s="10" t="s">
        <v>1518</v>
      </c>
      <c r="C640" s="76"/>
      <c r="E640" s="74">
        <f t="shared" si="10"/>
        <v>0</v>
      </c>
      <c r="G640" s="74">
        <v>0</v>
      </c>
      <c r="I640" s="137"/>
    </row>
    <row r="641" spans="1:29">
      <c r="A641" s="4">
        <v>637</v>
      </c>
      <c r="B641" s="10" t="s">
        <v>1519</v>
      </c>
      <c r="C641" s="76"/>
      <c r="E641" s="74">
        <f t="shared" si="10"/>
        <v>0</v>
      </c>
      <c r="G641" s="74">
        <v>0</v>
      </c>
      <c r="I641" s="137"/>
    </row>
    <row r="642" spans="1:29">
      <c r="A642" s="4">
        <v>638</v>
      </c>
      <c r="B642" s="10" t="s">
        <v>1520</v>
      </c>
      <c r="C642" s="76"/>
      <c r="E642" s="74">
        <f t="shared" si="10"/>
        <v>0</v>
      </c>
      <c r="G642" s="74">
        <v>0</v>
      </c>
      <c r="I642" s="137"/>
    </row>
    <row r="643" spans="1:29">
      <c r="A643" s="4">
        <v>639</v>
      </c>
      <c r="B643" s="10" t="s">
        <v>1521</v>
      </c>
      <c r="C643" s="76"/>
      <c r="E643" s="74">
        <f t="shared" si="10"/>
        <v>0</v>
      </c>
      <c r="G643" s="74">
        <v>0</v>
      </c>
      <c r="I643" s="137"/>
    </row>
    <row r="644" spans="1:29">
      <c r="A644" s="4">
        <v>640</v>
      </c>
      <c r="B644" s="10" t="s">
        <v>1522</v>
      </c>
      <c r="C644" s="76"/>
      <c r="E644" s="74">
        <f t="shared" si="10"/>
        <v>0</v>
      </c>
      <c r="G644" s="74">
        <v>0</v>
      </c>
      <c r="I644" s="137"/>
    </row>
    <row r="645" spans="1:29">
      <c r="A645" s="95">
        <v>641</v>
      </c>
      <c r="B645" s="10" t="s">
        <v>1523</v>
      </c>
      <c r="C645" s="76"/>
      <c r="E645" s="74">
        <f t="shared" si="10"/>
        <v>0</v>
      </c>
      <c r="G645" s="74">
        <v>0</v>
      </c>
      <c r="I645" s="137"/>
    </row>
    <row r="646" spans="1:29">
      <c r="A646" s="96"/>
      <c r="B646" s="97"/>
      <c r="C646" s="97"/>
      <c r="D646" s="97" t="s">
        <v>1264</v>
      </c>
      <c r="E646" s="98">
        <v>1</v>
      </c>
      <c r="F646" s="97"/>
      <c r="G646" s="97"/>
      <c r="H646" s="97"/>
      <c r="I646" s="99"/>
    </row>
    <row r="647" spans="1:29">
      <c r="A647" s="100"/>
      <c r="B647" s="70"/>
      <c r="C647" s="70"/>
      <c r="D647" s="70" t="s">
        <v>1264</v>
      </c>
      <c r="E647" s="91">
        <v>1</v>
      </c>
      <c r="F647" s="70"/>
      <c r="G647" s="70"/>
      <c r="H647" s="70"/>
      <c r="I647" s="101"/>
    </row>
    <row r="648" spans="1:29">
      <c r="A648" s="102"/>
      <c r="B648" s="103"/>
      <c r="C648" s="103"/>
      <c r="D648" s="103" t="s">
        <v>1264</v>
      </c>
      <c r="E648" s="104">
        <v>1</v>
      </c>
      <c r="F648" s="103"/>
      <c r="G648" s="103"/>
      <c r="H648" s="103"/>
      <c r="I648" s="105"/>
    </row>
    <row r="649" spans="1:29" ht="15" customHeight="1">
      <c r="A649" s="4" t="s">
        <v>1260</v>
      </c>
      <c r="B649" s="4" t="s">
        <v>23</v>
      </c>
      <c r="C649" s="92" t="s">
        <v>1263</v>
      </c>
      <c r="D649" s="92" t="s">
        <v>24</v>
      </c>
      <c r="E649" s="93" t="s">
        <v>25</v>
      </c>
      <c r="F649" s="92" t="s">
        <v>92</v>
      </c>
      <c r="G649" s="93" t="s">
        <v>26</v>
      </c>
      <c r="H649" s="92" t="s">
        <v>27</v>
      </c>
      <c r="I649" s="94" t="s">
        <v>1261</v>
      </c>
      <c r="N649" s="79"/>
      <c r="O649" s="79"/>
      <c r="P649" s="79"/>
      <c r="Q649" s="79"/>
      <c r="R649" s="79"/>
      <c r="S649" s="585" t="s">
        <v>1226</v>
      </c>
      <c r="T649" s="585"/>
      <c r="U649" s="585"/>
      <c r="V649" s="585" t="s">
        <v>1227</v>
      </c>
      <c r="W649" s="585"/>
      <c r="X649" s="79" t="s">
        <v>1228</v>
      </c>
      <c r="Y649" s="79" t="s">
        <v>1229</v>
      </c>
      <c r="Z649" s="79" t="s">
        <v>1230</v>
      </c>
      <c r="AA649" s="79" t="s">
        <v>1231</v>
      </c>
    </row>
    <row r="650" spans="1:29">
      <c r="A650" s="12">
        <v>1</v>
      </c>
      <c r="B650" s="7" t="s">
        <v>83</v>
      </c>
      <c r="C650" s="71" t="s">
        <v>116</v>
      </c>
      <c r="D650" s="73" t="s">
        <v>116</v>
      </c>
      <c r="E650" s="74">
        <f>+G650</f>
        <v>0</v>
      </c>
      <c r="G650" s="74">
        <v>0</v>
      </c>
      <c r="N650" s="79" t="s">
        <v>1232</v>
      </c>
      <c r="O650" s="79" t="s">
        <v>1233</v>
      </c>
      <c r="P650" s="79" t="s">
        <v>1234</v>
      </c>
      <c r="Q650" s="79" t="s">
        <v>1235</v>
      </c>
      <c r="R650" s="79" t="s">
        <v>1243</v>
      </c>
      <c r="S650" s="79" t="s">
        <v>1236</v>
      </c>
      <c r="T650" s="79" t="s">
        <v>1237</v>
      </c>
      <c r="U650" s="79" t="s">
        <v>1238</v>
      </c>
      <c r="V650" s="79" t="s">
        <v>1239</v>
      </c>
      <c r="W650" s="79" t="s">
        <v>1240</v>
      </c>
      <c r="X650" s="79"/>
      <c r="Y650" s="79"/>
      <c r="Z650" s="79"/>
      <c r="AA650" s="79"/>
    </row>
    <row r="651" spans="1:29">
      <c r="A651" s="12">
        <v>2</v>
      </c>
      <c r="B651" s="8" t="s">
        <v>84</v>
      </c>
      <c r="C651" s="71" t="s">
        <v>88</v>
      </c>
      <c r="D651" s="73" t="s">
        <v>117</v>
      </c>
      <c r="E651" s="74">
        <f>+G651*$E$648*$E$647*$E$646</f>
        <v>55.38</v>
      </c>
      <c r="G651" s="74">
        <f>+N652</f>
        <v>55.38</v>
      </c>
      <c r="I651" s="75" t="s">
        <v>2065</v>
      </c>
      <c r="O651" s="80">
        <v>0.05</v>
      </c>
      <c r="P651" s="81">
        <v>0.2</v>
      </c>
      <c r="Q651" s="81">
        <v>0.12</v>
      </c>
      <c r="R651" s="82">
        <v>2.46</v>
      </c>
      <c r="S651" s="83">
        <v>1.4999999999999999E-2</v>
      </c>
      <c r="T651" s="83">
        <v>1.8800000000000001E-2</v>
      </c>
      <c r="U651" s="83">
        <v>0.02</v>
      </c>
      <c r="V651" s="82">
        <v>0.6</v>
      </c>
      <c r="W651" s="84">
        <v>0.11269999999999999</v>
      </c>
      <c r="X651" s="83">
        <v>0.01</v>
      </c>
      <c r="Y651" s="83">
        <v>0.18</v>
      </c>
      <c r="Z651" s="83">
        <v>0.05</v>
      </c>
      <c r="AA651" s="85">
        <v>0</v>
      </c>
    </row>
    <row r="652" spans="1:29">
      <c r="A652" s="12">
        <v>3</v>
      </c>
      <c r="B652" s="8" t="s">
        <v>85</v>
      </c>
      <c r="C652" s="71" t="s">
        <v>89</v>
      </c>
      <c r="D652" s="73" t="s">
        <v>117</v>
      </c>
      <c r="E652" s="74">
        <f t="shared" ref="E652:E659" si="11">+G652*$E$648*$E$647*$E$646</f>
        <v>46.87</v>
      </c>
      <c r="G652" s="74">
        <f>+N653</f>
        <v>46.87</v>
      </c>
      <c r="M652" s="71" t="s">
        <v>1242</v>
      </c>
      <c r="N652" s="140">
        <v>55.38</v>
      </c>
      <c r="O652" s="86">
        <f>+N652*$O$651</f>
        <v>2.7690000000000001</v>
      </c>
      <c r="P652" s="86">
        <f>+N652*$P$651</f>
        <v>11.076000000000001</v>
      </c>
      <c r="Q652" s="86">
        <f>+(N652+O652+P652)*$Q$651</f>
        <v>8.3069999999999986</v>
      </c>
      <c r="R652" s="86">
        <f>+R651</f>
        <v>2.46</v>
      </c>
      <c r="S652" s="74">
        <f>+(N652+O652+P652)*$S$651</f>
        <v>1.0383749999999998</v>
      </c>
      <c r="T652" s="74">
        <f>+(N652+O652+P652)*$T$651</f>
        <v>1.3014299999999999</v>
      </c>
      <c r="U652" s="74">
        <f>+(N652+O652+P652)*$U$651</f>
        <v>1.3844999999999998</v>
      </c>
      <c r="V652" s="86">
        <f>+$V$651</f>
        <v>0.6</v>
      </c>
      <c r="W652" s="86">
        <f>+(N652+O652+P652)*$W$651</f>
        <v>7.8016574999999992</v>
      </c>
      <c r="X652" s="86">
        <f>+Q652*$X$651</f>
        <v>8.3069999999999991E-2</v>
      </c>
      <c r="Y652" s="87">
        <f>+(N652+O652+P652)*$Y$651</f>
        <v>12.460499999999998</v>
      </c>
      <c r="Z652" s="86">
        <f>+(N652+O652+P652)*$Z$651</f>
        <v>3.4612499999999997</v>
      </c>
      <c r="AA652" s="88">
        <f>+AA651</f>
        <v>0</v>
      </c>
      <c r="AB652" s="89">
        <f>SUM(O652:AA652)</f>
        <v>52.742782499999997</v>
      </c>
      <c r="AC652" s="90">
        <f>+AB652/N652</f>
        <v>0.95237960455037907</v>
      </c>
    </row>
    <row r="653" spans="1:29">
      <c r="A653" s="12">
        <v>4</v>
      </c>
      <c r="B653" s="8" t="s">
        <v>86</v>
      </c>
      <c r="C653" s="71" t="s">
        <v>1978</v>
      </c>
      <c r="D653" s="73" t="s">
        <v>117</v>
      </c>
      <c r="E653" s="74">
        <f t="shared" si="11"/>
        <v>0</v>
      </c>
      <c r="G653" s="74">
        <v>0</v>
      </c>
      <c r="M653" s="71" t="s">
        <v>1241</v>
      </c>
      <c r="N653" s="140">
        <v>46.87</v>
      </c>
      <c r="O653" s="86">
        <f>+N653*$O$651</f>
        <v>2.3435000000000001</v>
      </c>
      <c r="P653" s="86">
        <f>+N653*$P$651</f>
        <v>9.3740000000000006</v>
      </c>
      <c r="Q653" s="86">
        <f>+(N653+O653+P653)*$Q$651</f>
        <v>7.0305</v>
      </c>
      <c r="R653" s="86">
        <f>+R651</f>
        <v>2.46</v>
      </c>
      <c r="S653" s="74">
        <f>+(N653+O653+P653)*$S$651</f>
        <v>0.8788125</v>
      </c>
      <c r="T653" s="74">
        <f>+(N653+O653+P653)*$T$651</f>
        <v>1.101445</v>
      </c>
      <c r="U653" s="74">
        <f>+(N653+O653+P653)*$U$651</f>
        <v>1.1717500000000001</v>
      </c>
      <c r="V653" s="86">
        <f>+$V$651</f>
        <v>0.6</v>
      </c>
      <c r="W653" s="86">
        <f>+(N653+O653+P653)*$W$651</f>
        <v>6.6028112499999994</v>
      </c>
      <c r="X653" s="86">
        <f>+Q653*$X$651</f>
        <v>7.0305000000000006E-2</v>
      </c>
      <c r="Y653" s="87">
        <f>+(N653+O653+P653)*$Y$651</f>
        <v>10.54575</v>
      </c>
      <c r="Z653" s="86">
        <f>+(N653+O653+P653)*$Z$651</f>
        <v>2.9293750000000003</v>
      </c>
      <c r="AA653" s="88">
        <f>+AA651</f>
        <v>0</v>
      </c>
      <c r="AB653" s="89">
        <f>SUM(O653:AA653)</f>
        <v>45.108248750000001</v>
      </c>
      <c r="AC653" s="90">
        <f>+AB653/N653</f>
        <v>0.96241196394282069</v>
      </c>
    </row>
    <row r="654" spans="1:29">
      <c r="A654" s="12">
        <v>5</v>
      </c>
      <c r="B654" s="8" t="s">
        <v>87</v>
      </c>
      <c r="C654" s="71" t="s">
        <v>90</v>
      </c>
      <c r="D654" s="73" t="s">
        <v>117</v>
      </c>
      <c r="E654" s="74">
        <f t="shared" si="11"/>
        <v>0</v>
      </c>
      <c r="G654" s="74">
        <v>0</v>
      </c>
    </row>
    <row r="655" spans="1:29">
      <c r="A655" s="12">
        <v>6</v>
      </c>
      <c r="B655" s="8" t="s">
        <v>123</v>
      </c>
      <c r="C655" s="71" t="s">
        <v>2313</v>
      </c>
      <c r="D655" s="73" t="s">
        <v>117</v>
      </c>
      <c r="E655" s="74">
        <f t="shared" si="11"/>
        <v>52.742782499999997</v>
      </c>
      <c r="G655" s="74">
        <f>+AB652</f>
        <v>52.742782499999997</v>
      </c>
    </row>
    <row r="656" spans="1:29">
      <c r="A656" s="12">
        <v>7</v>
      </c>
      <c r="B656" s="8" t="s">
        <v>124</v>
      </c>
      <c r="C656" s="71" t="s">
        <v>2314</v>
      </c>
      <c r="D656" s="73" t="s">
        <v>117</v>
      </c>
      <c r="E656" s="74">
        <f t="shared" si="11"/>
        <v>45.108248750000001</v>
      </c>
      <c r="G656" s="74">
        <f>+AB653</f>
        <v>45.108248750000001</v>
      </c>
    </row>
    <row r="657" spans="1:20">
      <c r="A657" s="12">
        <v>8</v>
      </c>
      <c r="B657" s="8" t="s">
        <v>125</v>
      </c>
      <c r="C657" s="71" t="s">
        <v>2309</v>
      </c>
      <c r="D657" s="73" t="s">
        <v>117</v>
      </c>
      <c r="E657" s="74">
        <f t="shared" si="11"/>
        <v>0</v>
      </c>
      <c r="G657" s="74">
        <v>0</v>
      </c>
    </row>
    <row r="658" spans="1:20">
      <c r="A658" s="12">
        <v>9</v>
      </c>
      <c r="B658" s="8" t="s">
        <v>126</v>
      </c>
      <c r="C658" s="71" t="s">
        <v>116</v>
      </c>
      <c r="D658" s="73" t="s">
        <v>116</v>
      </c>
      <c r="E658" s="74">
        <f t="shared" si="11"/>
        <v>0</v>
      </c>
      <c r="G658" s="74">
        <v>0</v>
      </c>
    </row>
    <row r="659" spans="1:20">
      <c r="A659" s="109">
        <v>10</v>
      </c>
      <c r="B659" s="8" t="s">
        <v>127</v>
      </c>
      <c r="C659" s="71" t="s">
        <v>116</v>
      </c>
      <c r="D659" s="73" t="s">
        <v>116</v>
      </c>
      <c r="E659" s="74">
        <f t="shared" si="11"/>
        <v>0</v>
      </c>
      <c r="G659" s="74">
        <v>0</v>
      </c>
    </row>
    <row r="660" spans="1:20">
      <c r="A660" s="96"/>
      <c r="B660" s="97"/>
      <c r="C660" s="97"/>
      <c r="D660" s="97" t="s">
        <v>1264</v>
      </c>
      <c r="E660" s="98">
        <v>1</v>
      </c>
      <c r="F660" s="97"/>
      <c r="G660" s="97"/>
      <c r="H660" s="97"/>
      <c r="I660" s="99"/>
    </row>
    <row r="661" spans="1:20">
      <c r="A661" s="100"/>
      <c r="B661" s="70"/>
      <c r="C661" s="70"/>
      <c r="D661" s="70" t="s">
        <v>1264</v>
      </c>
      <c r="E661" s="91">
        <v>1</v>
      </c>
      <c r="F661" s="70"/>
      <c r="G661" s="70"/>
      <c r="H661" s="70"/>
      <c r="I661" s="101"/>
    </row>
    <row r="662" spans="1:20">
      <c r="A662" s="102"/>
      <c r="B662" s="103"/>
      <c r="C662" s="103"/>
      <c r="D662" s="103" t="s">
        <v>1264</v>
      </c>
      <c r="E662" s="104">
        <v>1</v>
      </c>
      <c r="F662" s="103"/>
      <c r="G662" s="103"/>
      <c r="H662" s="103"/>
      <c r="I662" s="105"/>
    </row>
    <row r="663" spans="1:20">
      <c r="A663" s="4" t="s">
        <v>1260</v>
      </c>
      <c r="B663" s="4" t="s">
        <v>23</v>
      </c>
      <c r="C663" s="92" t="s">
        <v>1263</v>
      </c>
      <c r="D663" s="92" t="s">
        <v>24</v>
      </c>
      <c r="E663" s="93" t="s">
        <v>25</v>
      </c>
      <c r="F663" s="92" t="s">
        <v>92</v>
      </c>
      <c r="G663" s="93" t="s">
        <v>26</v>
      </c>
      <c r="H663" s="92" t="s">
        <v>27</v>
      </c>
      <c r="I663" s="94" t="s">
        <v>1261</v>
      </c>
    </row>
    <row r="664" spans="1:20">
      <c r="A664" s="13">
        <v>1</v>
      </c>
      <c r="B664" s="11" t="s">
        <v>118</v>
      </c>
      <c r="C664" s="71" t="s">
        <v>116</v>
      </c>
      <c r="D664" s="73" t="s">
        <v>116</v>
      </c>
      <c r="E664" s="74">
        <f>+G664</f>
        <v>0</v>
      </c>
      <c r="G664" s="74">
        <v>0</v>
      </c>
      <c r="I664" s="309"/>
    </row>
    <row r="665" spans="1:20">
      <c r="A665" s="13">
        <v>2</v>
      </c>
      <c r="B665" s="11" t="s">
        <v>119</v>
      </c>
      <c r="C665" s="71" t="s">
        <v>91</v>
      </c>
      <c r="D665" s="73" t="s">
        <v>94</v>
      </c>
      <c r="E665" s="74">
        <f>+G665*$E$662*$E$661*$E$660</f>
        <v>1</v>
      </c>
      <c r="G665" s="74">
        <v>1</v>
      </c>
      <c r="I665" s="309"/>
    </row>
    <row r="666" spans="1:20">
      <c r="A666" s="13">
        <v>3</v>
      </c>
      <c r="B666" s="11" t="s">
        <v>120</v>
      </c>
      <c r="C666" s="71" t="s">
        <v>1245</v>
      </c>
      <c r="D666" s="73" t="s">
        <v>117</v>
      </c>
      <c r="E666" s="74">
        <f>+G666*$E$662*$E$661*$E$660</f>
        <v>126</v>
      </c>
      <c r="G666" s="74">
        <v>126</v>
      </c>
      <c r="I666" s="309"/>
      <c r="S666" s="71">
        <f>176*0.6</f>
        <v>105.6</v>
      </c>
      <c r="T666" s="71">
        <f>+S666*6</f>
        <v>633.59999999999991</v>
      </c>
    </row>
    <row r="667" spans="1:20">
      <c r="A667" s="13">
        <v>4</v>
      </c>
      <c r="B667" s="11" t="s">
        <v>121</v>
      </c>
      <c r="C667" s="71" t="s">
        <v>1246</v>
      </c>
      <c r="D667" s="73" t="s">
        <v>117</v>
      </c>
      <c r="E667" s="74">
        <f>+G667*$E$662*$E$661*$E$660</f>
        <v>301.3085399449036</v>
      </c>
      <c r="G667" s="74">
        <f>35000/1.21/12/8</f>
        <v>301.3085399449036</v>
      </c>
      <c r="I667" s="309"/>
    </row>
    <row r="668" spans="1:20">
      <c r="A668" s="13">
        <v>5</v>
      </c>
      <c r="B668" s="11" t="s">
        <v>122</v>
      </c>
      <c r="C668" s="71" t="s">
        <v>1678</v>
      </c>
      <c r="D668" s="73" t="s">
        <v>94</v>
      </c>
      <c r="E668" s="74">
        <f>+G668*$E$662*$E$661*$E$660</f>
        <v>10</v>
      </c>
      <c r="G668" s="74">
        <v>10</v>
      </c>
      <c r="I668" s="309"/>
    </row>
    <row r="669" spans="1:20">
      <c r="A669" s="13">
        <v>6</v>
      </c>
      <c r="B669" s="11" t="s">
        <v>128</v>
      </c>
      <c r="C669" s="71" t="s">
        <v>1979</v>
      </c>
      <c r="D669" s="73" t="s">
        <v>1262</v>
      </c>
      <c r="E669" s="74">
        <f t="shared" ref="E669:E678" si="12">+G669*$E$662*$E$661*$E$660</f>
        <v>800</v>
      </c>
      <c r="G669" s="74">
        <v>800</v>
      </c>
      <c r="I669" s="309"/>
    </row>
    <row r="670" spans="1:20">
      <c r="A670" s="13">
        <v>7</v>
      </c>
      <c r="B670" s="11" t="s">
        <v>129</v>
      </c>
      <c r="D670" s="73" t="s">
        <v>94</v>
      </c>
      <c r="E670" s="74">
        <f t="shared" si="12"/>
        <v>5</v>
      </c>
      <c r="G670" s="74">
        <v>5</v>
      </c>
      <c r="I670" s="309"/>
    </row>
    <row r="671" spans="1:20">
      <c r="A671" s="13">
        <v>8</v>
      </c>
      <c r="B671" s="11" t="s">
        <v>130</v>
      </c>
      <c r="C671" s="71" t="s">
        <v>116</v>
      </c>
      <c r="D671" s="73" t="s">
        <v>116</v>
      </c>
      <c r="E671" s="74">
        <f t="shared" si="12"/>
        <v>0</v>
      </c>
      <c r="G671" s="74">
        <v>0</v>
      </c>
      <c r="I671" s="309"/>
    </row>
    <row r="672" spans="1:20">
      <c r="A672" s="13">
        <v>9</v>
      </c>
      <c r="B672" s="11" t="s">
        <v>131</v>
      </c>
      <c r="E672" s="74">
        <f t="shared" si="12"/>
        <v>0</v>
      </c>
      <c r="G672" s="74">
        <v>0</v>
      </c>
      <c r="I672" s="309"/>
    </row>
    <row r="673" spans="1:9">
      <c r="A673" s="13">
        <v>10</v>
      </c>
      <c r="B673" s="11" t="s">
        <v>132</v>
      </c>
      <c r="C673" s="71" t="s">
        <v>1921</v>
      </c>
      <c r="D673" s="73" t="s">
        <v>117</v>
      </c>
      <c r="E673" s="74">
        <f t="shared" si="12"/>
        <v>250</v>
      </c>
      <c r="G673" s="74">
        <v>250</v>
      </c>
      <c r="I673" s="309"/>
    </row>
    <row r="674" spans="1:9">
      <c r="A674" s="13">
        <v>11</v>
      </c>
      <c r="B674" s="11" t="s">
        <v>133</v>
      </c>
      <c r="C674" s="71" t="s">
        <v>1256</v>
      </c>
      <c r="D674" s="73" t="s">
        <v>1702</v>
      </c>
      <c r="E674" s="74">
        <f t="shared" si="12"/>
        <v>120</v>
      </c>
      <c r="G674" s="74">
        <v>120</v>
      </c>
      <c r="I674" s="309"/>
    </row>
    <row r="675" spans="1:9">
      <c r="A675" s="13">
        <v>12</v>
      </c>
      <c r="B675" s="11" t="s">
        <v>134</v>
      </c>
      <c r="C675" s="71" t="s">
        <v>1257</v>
      </c>
      <c r="D675" s="73" t="s">
        <v>117</v>
      </c>
      <c r="E675" s="74">
        <f t="shared" si="12"/>
        <v>450</v>
      </c>
      <c r="G675" s="74">
        <v>450</v>
      </c>
      <c r="I675" s="137">
        <v>42527</v>
      </c>
    </row>
    <row r="676" spans="1:9">
      <c r="A676" s="13">
        <v>13</v>
      </c>
      <c r="B676" s="11" t="s">
        <v>135</v>
      </c>
      <c r="C676" s="71" t="s">
        <v>1706</v>
      </c>
      <c r="D676" s="73" t="s">
        <v>82</v>
      </c>
      <c r="E676" s="74">
        <f t="shared" si="12"/>
        <v>413.22314049586777</v>
      </c>
      <c r="G676" s="74">
        <f>500/1.21</f>
        <v>413.22314049586777</v>
      </c>
      <c r="I676" s="309"/>
    </row>
    <row r="677" spans="1:9">
      <c r="A677" s="13">
        <v>14</v>
      </c>
      <c r="B677" s="11" t="s">
        <v>136</v>
      </c>
      <c r="C677" s="71" t="s">
        <v>1980</v>
      </c>
      <c r="D677" s="73" t="s">
        <v>82</v>
      </c>
      <c r="E677" s="74">
        <f t="shared" si="12"/>
        <v>400</v>
      </c>
      <c r="G677" s="74">
        <v>400</v>
      </c>
      <c r="I677" s="137">
        <v>42527</v>
      </c>
    </row>
    <row r="678" spans="1:9">
      <c r="A678" s="13">
        <v>15</v>
      </c>
      <c r="B678" s="11" t="s">
        <v>137</v>
      </c>
      <c r="C678" s="71" t="s">
        <v>1244</v>
      </c>
      <c r="D678" s="73" t="s">
        <v>94</v>
      </c>
      <c r="E678" s="74">
        <f t="shared" si="12"/>
        <v>250</v>
      </c>
      <c r="G678" s="74">
        <v>250</v>
      </c>
      <c r="I678" s="309"/>
    </row>
  </sheetData>
  <mergeCells count="3">
    <mergeCell ref="S649:U649"/>
    <mergeCell ref="V649:W649"/>
    <mergeCell ref="A1:I1"/>
  </mergeCells>
  <phoneticPr fontId="18" type="noConversion"/>
  <pageMargins left="0.7" right="0.7" top="0.75" bottom="0.75" header="0.3" footer="0.3"/>
  <pageSetup orientation="portrait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6"/>
  <sheetViews>
    <sheetView topLeftCell="F76" workbookViewId="0">
      <selection activeCell="P91" sqref="P91"/>
    </sheetView>
  </sheetViews>
  <sheetFormatPr baseColWidth="10" defaultRowHeight="15"/>
  <cols>
    <col min="5" max="5" width="61.85546875" customWidth="1"/>
    <col min="6" max="6" width="3.7109375" style="2" bestFit="1" customWidth="1"/>
    <col min="7" max="7" width="9" style="560" bestFit="1" customWidth="1"/>
    <col min="9" max="9" width="12.140625" style="561" customWidth="1"/>
    <col min="10" max="10" width="16.140625" style="561" bestFit="1" customWidth="1"/>
    <col min="11" max="11" width="12.140625" customWidth="1"/>
    <col min="12" max="12" width="14" bestFit="1" customWidth="1"/>
    <col min="13" max="13" width="12.140625" customWidth="1"/>
    <col min="14" max="14" width="12.42578125" bestFit="1" customWidth="1"/>
    <col min="16" max="16" width="14" bestFit="1" customWidth="1"/>
  </cols>
  <sheetData>
    <row r="2" spans="1:14">
      <c r="E2" s="6"/>
      <c r="I2" s="642" t="s">
        <v>2538</v>
      </c>
      <c r="J2" s="589"/>
      <c r="K2" s="589"/>
      <c r="L2" s="589"/>
      <c r="M2" s="589"/>
      <c r="N2" s="590"/>
    </row>
    <row r="3" spans="1:14">
      <c r="E3" s="6" t="s">
        <v>2537</v>
      </c>
      <c r="I3" s="640" t="s">
        <v>2539</v>
      </c>
      <c r="J3" s="641"/>
      <c r="K3" s="589" t="s">
        <v>2540</v>
      </c>
      <c r="L3" s="589"/>
      <c r="M3" s="589" t="s">
        <v>2541</v>
      </c>
      <c r="N3" s="590"/>
    </row>
    <row r="4" spans="1:14">
      <c r="D4" s="2" t="str">
        <f>+'Rubros Sub RubRos'!E14</f>
        <v>RUBRO I:</v>
      </c>
      <c r="E4" s="2" t="str">
        <f>+'Rubros Sub RubRos'!F14</f>
        <v>PRELIMINARES</v>
      </c>
      <c r="I4" s="563" t="s">
        <v>2545</v>
      </c>
      <c r="J4" s="564" t="s">
        <v>2546</v>
      </c>
      <c r="K4" s="571"/>
      <c r="L4" s="572"/>
      <c r="M4" s="571"/>
      <c r="N4" s="572"/>
    </row>
    <row r="5" spans="1:14">
      <c r="A5" t="s">
        <v>2543</v>
      </c>
      <c r="B5" t="s">
        <v>2542</v>
      </c>
      <c r="C5" t="s">
        <v>2544</v>
      </c>
      <c r="D5">
        <f>+'Rubros Sub RubRos'!E15</f>
        <v>1.1000000000000001</v>
      </c>
      <c r="E5" t="str">
        <f>+'Rubros Sub RubRos'!F15</f>
        <v>Desmalezado, Limpieza, Replanteo y Demoliciones</v>
      </c>
      <c r="F5" s="2" t="str">
        <f>+'Rubros Sub RubRos'!G15</f>
        <v>m2</v>
      </c>
      <c r="G5" s="560">
        <f>+'Rubros Sub RubRos'!H15</f>
        <v>1036.8</v>
      </c>
      <c r="I5" s="580">
        <f>VLOOKUP(A5,DATAPNETO,9,FALSE)</f>
        <v>2.5</v>
      </c>
      <c r="J5" s="581">
        <f>+I5*G5</f>
        <v>2592</v>
      </c>
      <c r="K5" s="580">
        <f>VLOOKUP(B5,DATAPNETO,9,FALSE)/1.9</f>
        <v>9.2492875460526314</v>
      </c>
      <c r="L5" s="581">
        <f>+K5*G5</f>
        <v>9589.661327747368</v>
      </c>
      <c r="M5" s="580">
        <f>VLOOKUP(C5,DATAPNETO,9,FALSE)</f>
        <v>0.80294585349999992</v>
      </c>
      <c r="N5" s="582">
        <f>+M5*G5</f>
        <v>832.4942609087999</v>
      </c>
    </row>
    <row r="6" spans="1:14">
      <c r="A6" t="s">
        <v>2547</v>
      </c>
      <c r="B6" t="s">
        <v>2548</v>
      </c>
      <c r="C6" t="s">
        <v>2549</v>
      </c>
      <c r="D6">
        <f>+'Rubros Sub RubRos'!E16</f>
        <v>1.2</v>
      </c>
      <c r="E6" t="str">
        <f>+'Rubros Sub RubRos'!F16</f>
        <v>Obrador y Depósito</v>
      </c>
      <c r="F6" s="2" t="str">
        <f>+'Rubros Sub RubRos'!G16</f>
        <v>gl</v>
      </c>
      <c r="G6" s="560">
        <f>+'Rubros Sub RubRos'!H16</f>
        <v>1</v>
      </c>
      <c r="I6" s="565">
        <f>VLOOKUP(A6,DATAPNETO,9,FALSE)</f>
        <v>10500</v>
      </c>
      <c r="J6" s="566">
        <f>+I6*G6</f>
        <v>10500</v>
      </c>
      <c r="K6" s="565">
        <f>VLOOKUP(B6,DATAPNETO,9,FALSE)/1.9</f>
        <v>1017.1117763157894</v>
      </c>
      <c r="L6" s="566">
        <f>+K6*G6</f>
        <v>1017.1117763157894</v>
      </c>
      <c r="M6" s="565">
        <f>VLOOKUP(C6,DATAPNETO,9,FALSE)</f>
        <v>497.30049500000001</v>
      </c>
      <c r="N6" s="573">
        <f>+M6*G6</f>
        <v>497.30049500000001</v>
      </c>
    </row>
    <row r="7" spans="1:14">
      <c r="A7" t="s">
        <v>2550</v>
      </c>
      <c r="B7" t="s">
        <v>2551</v>
      </c>
      <c r="C7" t="s">
        <v>2552</v>
      </c>
      <c r="D7">
        <f>+'Rubros Sub RubRos'!E17</f>
        <v>1.3</v>
      </c>
      <c r="E7" t="str">
        <f>+'Rubros Sub RubRos'!F17</f>
        <v>Calculo Tramitacion y Aprobacion de Planos</v>
      </c>
      <c r="F7" s="2" t="str">
        <f>+'Rubros Sub RubRos'!G17</f>
        <v>gl</v>
      </c>
      <c r="G7" s="560">
        <f>+'Rubros Sub RubRos'!H17</f>
        <v>1</v>
      </c>
      <c r="I7" s="565">
        <f>VLOOKUP(A7,DATAPNETO,9,FALSE)</f>
        <v>28500</v>
      </c>
      <c r="J7" s="566">
        <f>+I7*G7</f>
        <v>28500</v>
      </c>
      <c r="K7" s="565">
        <f>VLOOKUP(B7,DATAPNETO,9,FALSE)/1.9</f>
        <v>8.1111529934210544</v>
      </c>
      <c r="L7" s="566">
        <f>+K7*G7</f>
        <v>8.1111529934210544</v>
      </c>
      <c r="M7" s="565">
        <f>VLOOKUP(C7,DATAPNETO,9,FALSE)</f>
        <v>1140.6164476275001</v>
      </c>
      <c r="N7" s="573">
        <f>+M7*G7</f>
        <v>1140.6164476275001</v>
      </c>
    </row>
    <row r="8" spans="1:14">
      <c r="A8" t="s">
        <v>2553</v>
      </c>
      <c r="B8" t="s">
        <v>2554</v>
      </c>
      <c r="C8" t="s">
        <v>2555</v>
      </c>
      <c r="D8">
        <f>+'Rubros Sub RubRos'!E18</f>
        <v>1.4</v>
      </c>
      <c r="E8" t="str">
        <f>+'Rubros Sub RubRos'!F18</f>
        <v>Equipamiento Oficina Direccion de Obra</v>
      </c>
      <c r="F8" s="2" t="str">
        <f>+'Rubros Sub RubRos'!G18</f>
        <v>gl</v>
      </c>
      <c r="G8" s="560">
        <f>+'Rubros Sub RubRos'!H18</f>
        <v>1</v>
      </c>
      <c r="I8" s="565">
        <f>VLOOKUP(A8,DATAPNETO,9,FALSE)</f>
        <v>5000</v>
      </c>
      <c r="J8" s="566">
        <f>+I8*G8</f>
        <v>5000</v>
      </c>
      <c r="K8" s="565">
        <f>VLOOKUP(B8,DATAPNETO,9,FALSE)/1.9</f>
        <v>16.222305986842109</v>
      </c>
      <c r="L8" s="566">
        <f>+K8*G8</f>
        <v>16.222305986842109</v>
      </c>
      <c r="M8" s="565">
        <f>VLOOKUP(C8,DATAPNETO,9,FALSE)</f>
        <v>201.23289525500002</v>
      </c>
      <c r="N8" s="573">
        <f>+M8*G8</f>
        <v>201.23289525500002</v>
      </c>
    </row>
    <row r="9" spans="1:14">
      <c r="A9" t="s">
        <v>2556</v>
      </c>
      <c r="B9" t="s">
        <v>2557</v>
      </c>
      <c r="C9" t="s">
        <v>2558</v>
      </c>
      <c r="D9">
        <f>+'Rubros Sub RubRos'!E19</f>
        <v>1.5</v>
      </c>
      <c r="E9" t="str">
        <f>+'Rubros Sub RubRos'!F19</f>
        <v>Traslado de Inspeccion</v>
      </c>
      <c r="F9" s="2" t="str">
        <f>+'Rubros Sub RubRos'!G19</f>
        <v>gl</v>
      </c>
      <c r="G9" s="560">
        <f>+'Rubros Sub RubRos'!H19</f>
        <v>1</v>
      </c>
      <c r="I9" s="569">
        <f>VLOOKUP(A9,DATAPNETO,9,FALSE)</f>
        <v>46800</v>
      </c>
      <c r="J9" s="570">
        <f>+I9*G9</f>
        <v>46800</v>
      </c>
      <c r="K9" s="569">
        <f>VLOOKUP(B9,DATAPNETO,9,FALSE)/1.9</f>
        <v>16.222305986842109</v>
      </c>
      <c r="L9" s="570">
        <f>+K9*G9</f>
        <v>16.222305986842109</v>
      </c>
      <c r="M9" s="569">
        <f>VLOOKUP(C9,DATAPNETO,9,FALSE)</f>
        <v>1873.2328952550001</v>
      </c>
      <c r="N9" s="575">
        <f>+M9*G9</f>
        <v>1873.2328952550001</v>
      </c>
    </row>
    <row r="10" spans="1:14">
      <c r="D10" s="2" t="str">
        <f>+'Rubros Sub RubRos'!E20</f>
        <v>RUBRO II:</v>
      </c>
      <c r="E10" s="2" t="str">
        <f>+'Rubros Sub RubRos'!F20</f>
        <v xml:space="preserve"> MOVIMIENTO de SUELOS</v>
      </c>
      <c r="I10" s="567"/>
      <c r="J10" s="568"/>
      <c r="K10" s="567"/>
      <c r="L10" s="568"/>
      <c r="M10" s="567"/>
      <c r="N10" s="574"/>
    </row>
    <row r="11" spans="1:14">
      <c r="A11" t="s">
        <v>2559</v>
      </c>
      <c r="B11" t="s">
        <v>2562</v>
      </c>
      <c r="C11" t="s">
        <v>2561</v>
      </c>
      <c r="D11">
        <f>+'Rubros Sub RubRos'!E21</f>
        <v>2.1</v>
      </c>
      <c r="E11" t="str">
        <f>+'Rubros Sub RubRos'!F21</f>
        <v>Relleno y compactacion con material de aporte</v>
      </c>
      <c r="F11" s="2" t="str">
        <f>+'Rubros Sub RubRos'!G21</f>
        <v>m3</v>
      </c>
      <c r="G11" s="560">
        <f>+'Rubros Sub RubRos'!H21</f>
        <v>996.52800000000002</v>
      </c>
      <c r="I11" s="580">
        <f>VLOOKUP(A11,DATAPNETO,9,FALSE)</f>
        <v>195</v>
      </c>
      <c r="J11" s="581">
        <f>+I11*G11</f>
        <v>194322.96</v>
      </c>
      <c r="K11" s="580">
        <f>VLOOKUP(B11,DATAPNETO,9,FALSE)/1.9</f>
        <v>35.289948355263157</v>
      </c>
      <c r="L11" s="581">
        <f>+K11*G11</f>
        <v>35167.421654573685</v>
      </c>
      <c r="M11" s="580">
        <f>VLOOKUP(C11,DATAPNETO,9,FALSE)</f>
        <v>80.682036075000013</v>
      </c>
      <c r="N11" s="582">
        <f>+M11*G11</f>
        <v>80401.908045747608</v>
      </c>
    </row>
    <row r="12" spans="1:14">
      <c r="A12" t="s">
        <v>2563</v>
      </c>
      <c r="B12" t="s">
        <v>2560</v>
      </c>
      <c r="C12" t="s">
        <v>2564</v>
      </c>
      <c r="D12">
        <f>+'Rubros Sub RubRos'!E22</f>
        <v>2.2000000000000002</v>
      </c>
      <c r="E12" t="str">
        <f>+'Rubros Sub RubRos'!F22</f>
        <v>Excavacion para Fundaciones</v>
      </c>
      <c r="F12" s="2" t="str">
        <f>+'Rubros Sub RubRos'!G22</f>
        <v>m3</v>
      </c>
      <c r="G12" s="560">
        <f>+'Rubros Sub RubRos'!H22</f>
        <v>107</v>
      </c>
      <c r="I12" s="569">
        <f>VLOOKUP(A12,DATAPNETO,9,FALSE)</f>
        <v>0</v>
      </c>
      <c r="J12" s="570">
        <f>+I12*G12</f>
        <v>0</v>
      </c>
      <c r="K12" s="569">
        <f>VLOOKUP(B12,DATAPNETO,9,FALSE)/1.9</f>
        <v>108.71518144736844</v>
      </c>
      <c r="L12" s="570">
        <f>+K12*G12</f>
        <v>11632.524414868423</v>
      </c>
      <c r="M12" s="569">
        <f>VLOOKUP(C12,DATAPNETO,9,FALSE)</f>
        <v>30.762353789999999</v>
      </c>
      <c r="N12" s="575">
        <f>+M12*G12</f>
        <v>3291.57185553</v>
      </c>
    </row>
    <row r="13" spans="1:14">
      <c r="D13" s="2" t="str">
        <f>+'Rubros Sub RubRos'!E23</f>
        <v>RUBRO III:</v>
      </c>
      <c r="E13" s="2" t="str">
        <f>+'Rubros Sub RubRos'!F23</f>
        <v xml:space="preserve"> ESTRUCTURA RESISTENTE</v>
      </c>
      <c r="I13" s="567"/>
      <c r="J13" s="568"/>
      <c r="K13" s="567"/>
      <c r="L13" s="568"/>
      <c r="M13" s="567"/>
      <c r="N13" s="574"/>
    </row>
    <row r="14" spans="1:14">
      <c r="A14" t="s">
        <v>2565</v>
      </c>
      <c r="B14" t="s">
        <v>2566</v>
      </c>
      <c r="C14" t="s">
        <v>2567</v>
      </c>
      <c r="D14">
        <f>+'Rubros Sub RubRos'!E24</f>
        <v>3.1</v>
      </c>
      <c r="E14" t="str">
        <f>+'Rubros Sub RubRos'!F24</f>
        <v>Hormigón de Limpieza</v>
      </c>
      <c r="F14" s="2" t="str">
        <f>+'Rubros Sub RubRos'!G24</f>
        <v>m3</v>
      </c>
      <c r="G14" s="560">
        <f>+'Rubros Sub RubRos'!H24</f>
        <v>22.27</v>
      </c>
      <c r="I14" s="580">
        <f t="shared" ref="I14:I22" si="0">VLOOKUP(A14,DATAPNETO,9,FALSE)</f>
        <v>816.5</v>
      </c>
      <c r="J14" s="581">
        <f t="shared" ref="J14:J22" si="1">+I14*G14</f>
        <v>18183.454999999998</v>
      </c>
      <c r="K14" s="580">
        <f t="shared" ref="K14:K22" si="2">VLOOKUP(B14,DATAPNETO,9,FALSE)/1.9</f>
        <v>900.45886172368421</v>
      </c>
      <c r="L14" s="581">
        <f t="shared" ref="L14:L22" si="3">+K14*G14</f>
        <v>20053.218850586447</v>
      </c>
      <c r="M14" s="580">
        <f t="shared" ref="M14:M22" si="4">VLOOKUP(C14,DATAPNETO,9,FALSE)</f>
        <v>146.09487349099999</v>
      </c>
      <c r="N14" s="582">
        <f t="shared" ref="N14:N22" si="5">+M14*G14</f>
        <v>3253.5328326445697</v>
      </c>
    </row>
    <row r="15" spans="1:14">
      <c r="A15" t="s">
        <v>2568</v>
      </c>
      <c r="B15" t="s">
        <v>2569</v>
      </c>
      <c r="C15" t="s">
        <v>2570</v>
      </c>
      <c r="D15">
        <f>+'Rubros Sub RubRos'!E25</f>
        <v>3.2</v>
      </c>
      <c r="E15" t="str">
        <f>+'Rubros Sub RubRos'!F25</f>
        <v>Cimiento comun con Piedra Bola</v>
      </c>
      <c r="F15" s="2" t="str">
        <f>+'Rubros Sub RubRos'!G25</f>
        <v>m3</v>
      </c>
      <c r="G15" s="560">
        <f>+'Rubros Sub RubRos'!H25</f>
        <v>68.900000000000006</v>
      </c>
      <c r="I15" s="565">
        <f t="shared" si="0"/>
        <v>1898.4003528862499</v>
      </c>
      <c r="J15" s="566">
        <f t="shared" si="1"/>
        <v>130799.78431386263</v>
      </c>
      <c r="K15" s="565">
        <f t="shared" si="2"/>
        <v>451.00525953947374</v>
      </c>
      <c r="L15" s="566">
        <f t="shared" si="3"/>
        <v>31074.262382269742</v>
      </c>
      <c r="M15" s="565">
        <f t="shared" si="4"/>
        <v>155.21241384044998</v>
      </c>
      <c r="N15" s="573">
        <f t="shared" si="5"/>
        <v>10694.135313607005</v>
      </c>
    </row>
    <row r="16" spans="1:14">
      <c r="A16" t="s">
        <v>2571</v>
      </c>
      <c r="B16" t="s">
        <v>2572</v>
      </c>
      <c r="C16" t="s">
        <v>2573</v>
      </c>
      <c r="D16">
        <f>+'Rubros Sub RubRos'!E26</f>
        <v>3.3</v>
      </c>
      <c r="E16" t="str">
        <f>+'Rubros Sub RubRos'!F26</f>
        <v>Bases de Columnas</v>
      </c>
      <c r="F16" s="2" t="str">
        <f>+'Rubros Sub RubRos'!G26</f>
        <v>m3</v>
      </c>
      <c r="G16" s="560">
        <f>+'Rubros Sub RubRos'!H26</f>
        <v>14.48</v>
      </c>
      <c r="I16" s="565">
        <f t="shared" si="0"/>
        <v>1935.7017057725</v>
      </c>
      <c r="J16" s="566">
        <f t="shared" si="1"/>
        <v>28028.960699585801</v>
      </c>
      <c r="K16" s="565">
        <f t="shared" si="2"/>
        <v>552.75519976973692</v>
      </c>
      <c r="L16" s="566">
        <f t="shared" si="3"/>
        <v>8003.8952926657912</v>
      </c>
      <c r="M16" s="565">
        <f t="shared" si="4"/>
        <v>164.4374634134</v>
      </c>
      <c r="N16" s="573">
        <f t="shared" si="5"/>
        <v>2381.0544702260322</v>
      </c>
    </row>
    <row r="17" spans="1:14">
      <c r="A17" t="s">
        <v>2574</v>
      </c>
      <c r="B17" t="s">
        <v>2575</v>
      </c>
      <c r="C17" t="s">
        <v>2576</v>
      </c>
      <c r="D17">
        <f>+'Rubros Sub RubRos'!E27</f>
        <v>3.4</v>
      </c>
      <c r="E17" t="str">
        <f>+'Rubros Sub RubRos'!F27</f>
        <v>Vigas de Arriostramiento y Fundacion</v>
      </c>
      <c r="F17" s="2" t="str">
        <f>+'Rubros Sub RubRos'!G27</f>
        <v>m3</v>
      </c>
      <c r="G17" s="560">
        <f>+'Rubros Sub RubRos'!H27</f>
        <v>23.8</v>
      </c>
      <c r="I17" s="565">
        <f t="shared" si="0"/>
        <v>3571.1005288624992</v>
      </c>
      <c r="J17" s="566">
        <f t="shared" si="1"/>
        <v>84992.192586927486</v>
      </c>
      <c r="K17" s="565">
        <f t="shared" si="2"/>
        <v>1565.3238710526316</v>
      </c>
      <c r="L17" s="566">
        <f t="shared" si="3"/>
        <v>37254.708131052634</v>
      </c>
      <c r="M17" s="565">
        <f t="shared" si="4"/>
        <v>306.80863535449998</v>
      </c>
      <c r="N17" s="573">
        <f t="shared" si="5"/>
        <v>7302.0455214370995</v>
      </c>
    </row>
    <row r="18" spans="1:14">
      <c r="A18" t="s">
        <v>2577</v>
      </c>
      <c r="B18" t="s">
        <v>2578</v>
      </c>
      <c r="C18" t="s">
        <v>2579</v>
      </c>
      <c r="D18">
        <f>+'Rubros Sub RubRos'!E28</f>
        <v>3.5</v>
      </c>
      <c r="E18" t="str">
        <f>+'Rubros Sub RubRos'!F28</f>
        <v>Columnas de Carga</v>
      </c>
      <c r="F18" s="2" t="str">
        <f>+'Rubros Sub RubRos'!G28</f>
        <v>m3</v>
      </c>
      <c r="G18" s="560">
        <f>+'Rubros Sub RubRos'!H28</f>
        <v>11.74</v>
      </c>
      <c r="I18" s="565">
        <f t="shared" si="0"/>
        <v>3803.8002932937484</v>
      </c>
      <c r="J18" s="566">
        <f t="shared" si="1"/>
        <v>44656.615443268609</v>
      </c>
      <c r="K18" s="565">
        <f t="shared" si="2"/>
        <v>2202.6792205263155</v>
      </c>
      <c r="L18" s="566">
        <f t="shared" si="3"/>
        <v>25859.454048978943</v>
      </c>
      <c r="M18" s="565">
        <f t="shared" si="4"/>
        <v>620.86417243665346</v>
      </c>
      <c r="N18" s="573">
        <f t="shared" si="5"/>
        <v>7288.9453844063119</v>
      </c>
    </row>
    <row r="19" spans="1:14">
      <c r="A19" t="s">
        <v>2580</v>
      </c>
      <c r="B19" t="s">
        <v>2581</v>
      </c>
      <c r="C19" t="s">
        <v>2582</v>
      </c>
      <c r="D19">
        <f>+'Rubros Sub RubRos'!E29</f>
        <v>3.6</v>
      </c>
      <c r="E19" t="str">
        <f>+'Rubros Sub RubRos'!F29</f>
        <v>Columnas de Encadenado</v>
      </c>
      <c r="F19" s="2" t="str">
        <f>+'Rubros Sub RubRos'!G29</f>
        <v>m3</v>
      </c>
      <c r="G19" s="560">
        <f>+'Rubros Sub RubRos'!H29</f>
        <v>11.64</v>
      </c>
      <c r="I19" s="565">
        <f t="shared" si="0"/>
        <v>2712.6168230899993</v>
      </c>
      <c r="J19" s="566">
        <f t="shared" si="1"/>
        <v>31574.859820767593</v>
      </c>
      <c r="K19" s="565">
        <f t="shared" si="2"/>
        <v>1501.2065871710527</v>
      </c>
      <c r="L19" s="566">
        <f t="shared" si="3"/>
        <v>17474.044674671055</v>
      </c>
      <c r="M19" s="565">
        <f t="shared" si="4"/>
        <v>523.9049134935035</v>
      </c>
      <c r="N19" s="573">
        <f t="shared" si="5"/>
        <v>6098.2531930643809</v>
      </c>
    </row>
    <row r="20" spans="1:14">
      <c r="A20" t="s">
        <v>2583</v>
      </c>
      <c r="B20" t="s">
        <v>2584</v>
      </c>
      <c r="C20" t="s">
        <v>2585</v>
      </c>
      <c r="D20">
        <f>+'Rubros Sub RubRos'!E30</f>
        <v>3.7</v>
      </c>
      <c r="E20" t="str">
        <f>+'Rubros Sub RubRos'!F30</f>
        <v>Vigas de Encadenado</v>
      </c>
      <c r="F20" s="2" t="str">
        <f>+'Rubros Sub RubRos'!G30</f>
        <v>m3</v>
      </c>
      <c r="G20" s="560">
        <f>+'Rubros Sub RubRos'!H30</f>
        <v>15.58</v>
      </c>
      <c r="I20" s="565">
        <f t="shared" si="0"/>
        <v>2707.6168230899993</v>
      </c>
      <c r="J20" s="566">
        <f t="shared" si="1"/>
        <v>42184.670103742188</v>
      </c>
      <c r="K20" s="565">
        <f t="shared" si="2"/>
        <v>1501.2065871710527</v>
      </c>
      <c r="L20" s="566">
        <f t="shared" si="3"/>
        <v>23388.798628125001</v>
      </c>
      <c r="M20" s="565">
        <f t="shared" si="4"/>
        <v>523.70491349350357</v>
      </c>
      <c r="N20" s="573">
        <f t="shared" si="5"/>
        <v>8159.3225522287858</v>
      </c>
    </row>
    <row r="21" spans="1:14">
      <c r="A21" t="s">
        <v>2586</v>
      </c>
      <c r="B21" t="s">
        <v>2587</v>
      </c>
      <c r="C21" t="s">
        <v>2588</v>
      </c>
      <c r="D21">
        <f>+'Rubros Sub RubRos'!E31</f>
        <v>3.8</v>
      </c>
      <c r="E21" t="str">
        <f>+'Rubros Sub RubRos'!F31</f>
        <v>Vigas de Carga</v>
      </c>
      <c r="F21" s="2" t="str">
        <f>+'Rubros Sub RubRos'!G31</f>
        <v>m3</v>
      </c>
      <c r="G21" s="560">
        <f>+'Rubros Sub RubRos'!H31</f>
        <v>34.75</v>
      </c>
      <c r="I21" s="565">
        <f t="shared" si="0"/>
        <v>5307.4335288624989</v>
      </c>
      <c r="J21" s="566">
        <f t="shared" si="1"/>
        <v>184433.31512797184</v>
      </c>
      <c r="K21" s="565">
        <f t="shared" si="2"/>
        <v>1853.6932128947367</v>
      </c>
      <c r="L21" s="566">
        <f t="shared" si="3"/>
        <v>64415.839148092098</v>
      </c>
      <c r="M21" s="565">
        <f t="shared" si="4"/>
        <v>753.17802533450003</v>
      </c>
      <c r="N21" s="573">
        <f t="shared" si="5"/>
        <v>26172.936380373878</v>
      </c>
    </row>
    <row r="22" spans="1:14">
      <c r="A22" t="s">
        <v>2589</v>
      </c>
      <c r="B22" t="s">
        <v>2590</v>
      </c>
      <c r="C22" t="s">
        <v>2591</v>
      </c>
      <c r="D22">
        <f>+'Rubros Sub RubRos'!E32</f>
        <v>3.9</v>
      </c>
      <c r="E22" t="str">
        <f>+'Rubros Sub RubRos'!F32</f>
        <v>Losa Maciza de Hormigon visto</v>
      </c>
      <c r="F22" s="2" t="str">
        <f>+'Rubros Sub RubRos'!G32</f>
        <v>m3</v>
      </c>
      <c r="G22" s="560">
        <f>+'Rubros Sub RubRos'!H32</f>
        <v>96.79</v>
      </c>
      <c r="I22" s="569">
        <f t="shared" si="0"/>
        <v>5022.3844702037495</v>
      </c>
      <c r="J22" s="570">
        <f t="shared" si="1"/>
        <v>486116.59287102096</v>
      </c>
      <c r="K22" s="569">
        <f t="shared" si="2"/>
        <v>1895.3051190789474</v>
      </c>
      <c r="L22" s="570">
        <f t="shared" si="3"/>
        <v>183446.58247565135</v>
      </c>
      <c r="M22" s="569">
        <f t="shared" si="4"/>
        <v>744.93856785815001</v>
      </c>
      <c r="N22" s="575">
        <f t="shared" si="5"/>
        <v>72102.603982990346</v>
      </c>
    </row>
    <row r="23" spans="1:14">
      <c r="D23" s="2" t="str">
        <f>+'Rubros Sub RubRos'!E33</f>
        <v>RUBRO IV:</v>
      </c>
      <c r="E23" s="2" t="str">
        <f>+'Rubros Sub RubRos'!F33</f>
        <v>ALBAÑILERÍA</v>
      </c>
      <c r="I23" s="567"/>
      <c r="J23" s="568"/>
      <c r="K23" s="567"/>
      <c r="L23" s="568"/>
      <c r="M23" s="567"/>
      <c r="N23" s="574"/>
    </row>
    <row r="24" spans="1:14">
      <c r="A24" t="s">
        <v>2594</v>
      </c>
      <c r="B24" t="s">
        <v>2592</v>
      </c>
      <c r="C24" t="s">
        <v>2593</v>
      </c>
      <c r="D24">
        <f>+'Rubros Sub RubRos'!E34</f>
        <v>4.0999999999999996</v>
      </c>
      <c r="E24" t="str">
        <f>+'Rubros Sub RubRos'!F34</f>
        <v>Mamposteria de ladrillon de 0.30 de espesor</v>
      </c>
      <c r="F24" s="2" t="str">
        <f>+'Rubros Sub RubRos'!G34</f>
        <v>m2</v>
      </c>
      <c r="G24" s="560">
        <f>+'Rubros Sub RubRos'!H34</f>
        <v>490</v>
      </c>
      <c r="I24" s="580">
        <f t="shared" ref="I24:I29" si="6">VLOOKUP(A24,DATAPNETO,9,FALSE)</f>
        <v>437.35033411544998</v>
      </c>
      <c r="J24" s="581">
        <f t="shared" ref="J24:J29" si="7">+I24*G24</f>
        <v>214301.6637165705</v>
      </c>
      <c r="K24" s="580">
        <f t="shared" ref="K24:K29" si="8">VLOOKUP(B24,DATAPNETO,9,FALSE)/1.9</f>
        <v>70.461416921052631</v>
      </c>
      <c r="L24" s="581">
        <f t="shared" ref="L24:L29" si="9">+K24*G24</f>
        <v>34526.094291315792</v>
      </c>
      <c r="M24" s="580">
        <f t="shared" ref="M24:M29" si="10">VLOOKUP(C24,DATAPNETO,9,FALSE)</f>
        <v>52.979935045108363</v>
      </c>
      <c r="N24" s="582">
        <f t="shared" ref="N24:N29" si="11">+M24*G24</f>
        <v>25960.168172103098</v>
      </c>
    </row>
    <row r="25" spans="1:14">
      <c r="A25" t="s">
        <v>2595</v>
      </c>
      <c r="B25" t="s">
        <v>2596</v>
      </c>
      <c r="C25" t="s">
        <v>2597</v>
      </c>
      <c r="D25">
        <f>+'Rubros Sub RubRos'!E35</f>
        <v>4.2</v>
      </c>
      <c r="E25" t="str">
        <f>+'Rubros Sub RubRos'!F35</f>
        <v>Mamposteria de ladrillon de 0.20 de espesor</v>
      </c>
      <c r="F25" s="2" t="str">
        <f>+'Rubros Sub RubRos'!G35</f>
        <v>m2</v>
      </c>
      <c r="G25" s="560">
        <f>+'Rubros Sub RubRos'!H35</f>
        <v>132.5</v>
      </c>
      <c r="I25" s="565">
        <f t="shared" si="6"/>
        <v>274.29183411544994</v>
      </c>
      <c r="J25" s="566">
        <f t="shared" si="7"/>
        <v>36343.668020297118</v>
      </c>
      <c r="K25" s="565">
        <f t="shared" si="8"/>
        <v>60.897975789473684</v>
      </c>
      <c r="L25" s="566">
        <f t="shared" si="9"/>
        <v>8068.9817921052627</v>
      </c>
      <c r="M25" s="565">
        <f t="shared" si="10"/>
        <v>45.730773519108361</v>
      </c>
      <c r="N25" s="573">
        <f t="shared" si="11"/>
        <v>6059.3274912818579</v>
      </c>
    </row>
    <row r="26" spans="1:14">
      <c r="A26" t="s">
        <v>2598</v>
      </c>
      <c r="B26" t="s">
        <v>2599</v>
      </c>
      <c r="C26" t="s">
        <v>2600</v>
      </c>
      <c r="D26">
        <f>+'Rubros Sub RubRos'!E36</f>
        <v>4.3</v>
      </c>
      <c r="E26" t="str">
        <f>+'Rubros Sub RubRos'!F36</f>
        <v>Mamposteria de ladrillo de 0.12 de espesor</v>
      </c>
      <c r="F26" s="2" t="str">
        <f>+'Rubros Sub RubRos'!G36</f>
        <v>m2</v>
      </c>
      <c r="G26" s="560">
        <f>+'Rubros Sub RubRos'!H36</f>
        <v>26.5</v>
      </c>
      <c r="I26" s="565">
        <f t="shared" si="6"/>
        <v>250.79183411545</v>
      </c>
      <c r="J26" s="566">
        <f t="shared" si="7"/>
        <v>6645.9836040594255</v>
      </c>
      <c r="K26" s="565">
        <f t="shared" si="8"/>
        <v>60.897975789473684</v>
      </c>
      <c r="L26" s="566">
        <f t="shared" si="9"/>
        <v>1613.7963584210527</v>
      </c>
      <c r="M26" s="565">
        <f t="shared" si="10"/>
        <v>44.790773519108363</v>
      </c>
      <c r="N26" s="573">
        <f t="shared" si="11"/>
        <v>1186.9554982563716</v>
      </c>
    </row>
    <row r="27" spans="1:14">
      <c r="A27" t="s">
        <v>2601</v>
      </c>
      <c r="B27" t="s">
        <v>2602</v>
      </c>
      <c r="C27" t="s">
        <v>2603</v>
      </c>
      <c r="D27">
        <f>+'Rubros Sub RubRos'!E37</f>
        <v>4.4000000000000004</v>
      </c>
      <c r="E27" t="str">
        <f>+'Rubros Sub RubRos'!F37</f>
        <v>Capa Aisladora</v>
      </c>
      <c r="F27" s="2" t="str">
        <f>+'Rubros Sub RubRos'!G37</f>
        <v>m2</v>
      </c>
      <c r="G27" s="560">
        <f>+'Rubros Sub RubRos'!H37</f>
        <v>56.956000000000003</v>
      </c>
      <c r="I27" s="565">
        <f t="shared" si="6"/>
        <v>21.709999999999997</v>
      </c>
      <c r="J27" s="566">
        <f t="shared" si="7"/>
        <v>1236.51476</v>
      </c>
      <c r="K27" s="565">
        <f t="shared" si="8"/>
        <v>25.183171282894737</v>
      </c>
      <c r="L27" s="566">
        <f t="shared" si="9"/>
        <v>1434.3327035885527</v>
      </c>
      <c r="M27" s="565">
        <f t="shared" si="10"/>
        <v>17.847748014745182</v>
      </c>
      <c r="N27" s="573">
        <f t="shared" si="11"/>
        <v>1016.5363359278266</v>
      </c>
    </row>
    <row r="28" spans="1:14">
      <c r="A28" t="s">
        <v>2604</v>
      </c>
      <c r="B28" t="s">
        <v>2605</v>
      </c>
      <c r="C28" t="s">
        <v>2606</v>
      </c>
      <c r="D28">
        <f>+'Rubros Sub RubRos'!E38</f>
        <v>4.5</v>
      </c>
      <c r="E28" t="str">
        <f>+'Rubros Sub RubRos'!F38</f>
        <v>Tabiques divisorios en sanitarios</v>
      </c>
      <c r="F28" s="2" t="str">
        <f>+'Rubros Sub RubRos'!G38</f>
        <v>m2</v>
      </c>
      <c r="G28" s="560">
        <f>+'Rubros Sub RubRos'!H38</f>
        <v>15.280000000000001</v>
      </c>
      <c r="I28" s="565">
        <f t="shared" si="6"/>
        <v>393.08000000000004</v>
      </c>
      <c r="J28" s="566">
        <f t="shared" si="7"/>
        <v>6006.2624000000014</v>
      </c>
      <c r="K28" s="565">
        <f t="shared" si="8"/>
        <v>150.12065871710527</v>
      </c>
      <c r="L28" s="566">
        <f t="shared" si="9"/>
        <v>2293.8436651973689</v>
      </c>
      <c r="M28" s="565">
        <f t="shared" si="10"/>
        <v>27.132370062500005</v>
      </c>
      <c r="N28" s="573">
        <f t="shared" si="11"/>
        <v>414.58261455500013</v>
      </c>
    </row>
    <row r="29" spans="1:14">
      <c r="A29" t="s">
        <v>2607</v>
      </c>
      <c r="B29" t="s">
        <v>2608</v>
      </c>
      <c r="C29" t="s">
        <v>2609</v>
      </c>
      <c r="D29">
        <f>+'Rubros Sub RubRos'!E39</f>
        <v>4.5999999999999996</v>
      </c>
      <c r="E29" t="str">
        <f>+'Rubros Sub RubRos'!F39</f>
        <v>Tabiques de roca de yeso tipo Durlock</v>
      </c>
      <c r="F29" s="2" t="str">
        <f>+'Rubros Sub RubRos'!G39</f>
        <v>m2</v>
      </c>
      <c r="G29" s="560">
        <f>+'Rubros Sub RubRos'!H39</f>
        <v>45.6</v>
      </c>
      <c r="I29" s="569">
        <f t="shared" si="6"/>
        <v>173.52</v>
      </c>
      <c r="J29" s="570">
        <f t="shared" si="7"/>
        <v>7912.5120000000006</v>
      </c>
      <c r="K29" s="569">
        <f t="shared" si="8"/>
        <v>150.12065871710527</v>
      </c>
      <c r="L29" s="570">
        <f t="shared" si="9"/>
        <v>6845.5020375000004</v>
      </c>
      <c r="M29" s="569">
        <f t="shared" si="10"/>
        <v>18.349970062500002</v>
      </c>
      <c r="N29" s="575">
        <f t="shared" si="11"/>
        <v>836.75863485000013</v>
      </c>
    </row>
    <row r="30" spans="1:14">
      <c r="C30" s="2"/>
      <c r="D30" s="2" t="str">
        <f>+'Rubros Sub RubRos'!E40</f>
        <v>RUBRO V:</v>
      </c>
      <c r="E30" s="2" t="str">
        <f>+'Rubros Sub RubRos'!F40</f>
        <v>REVOQUES</v>
      </c>
      <c r="I30" s="567"/>
      <c r="J30" s="568"/>
      <c r="K30" s="567"/>
      <c r="L30" s="568"/>
      <c r="M30" s="567"/>
      <c r="N30" s="574"/>
    </row>
    <row r="31" spans="1:14">
      <c r="A31" t="s">
        <v>2610</v>
      </c>
      <c r="B31" t="s">
        <v>2611</v>
      </c>
      <c r="C31" t="s">
        <v>2612</v>
      </c>
      <c r="D31">
        <f>+'Rubros Sub RubRos'!E41</f>
        <v>5.0999999999999996</v>
      </c>
      <c r="E31" t="str">
        <f>+'Rubros Sub RubRos'!F41</f>
        <v>Grueso Interior/Exterior</v>
      </c>
      <c r="F31" s="2" t="str">
        <f>+'Rubros Sub RubRos'!G41</f>
        <v>m2</v>
      </c>
      <c r="G31" s="560">
        <f>+'Rubros Sub RubRos'!H41</f>
        <v>1139.6600000000001</v>
      </c>
      <c r="I31" s="580">
        <f>VLOOKUP(A31,DATAPNETO,9,FALSE)</f>
        <v>21.06</v>
      </c>
      <c r="J31" s="581">
        <f>+I31*G31</f>
        <v>24001.239600000001</v>
      </c>
      <c r="K31" s="580">
        <f>VLOOKUP(B31,DATAPNETO,9,FALSE)/1.9</f>
        <v>50.366342565789473</v>
      </c>
      <c r="L31" s="581">
        <f>+K31*G31</f>
        <v>57400.505968527636</v>
      </c>
      <c r="M31" s="580">
        <f>VLOOKUP(C31,DATAPNETO,9,FALSE)</f>
        <v>19.73566903224518</v>
      </c>
      <c r="N31" s="582">
        <f>+M31*G31</f>
        <v>22491.952569288544</v>
      </c>
    </row>
    <row r="32" spans="1:14">
      <c r="A32" t="s">
        <v>2613</v>
      </c>
      <c r="B32" t="s">
        <v>2614</v>
      </c>
      <c r="C32" t="s">
        <v>2615</v>
      </c>
      <c r="D32">
        <f>+'Rubros Sub RubRos'!E42</f>
        <v>5.2</v>
      </c>
      <c r="E32" t="str">
        <f>+'Rubros Sub RubRos'!F42</f>
        <v>Enlucido a la cal Interior</v>
      </c>
      <c r="F32" s="2" t="str">
        <f>+'Rubros Sub RubRos'!G42</f>
        <v>m2</v>
      </c>
      <c r="G32" s="560">
        <f>+'Rubros Sub RubRos'!H42</f>
        <v>842.66000000000008</v>
      </c>
      <c r="I32" s="565">
        <f>VLOOKUP(A32,DATAPNETO,9,FALSE)</f>
        <v>5.0145</v>
      </c>
      <c r="J32" s="566">
        <f>+I32*G32</f>
        <v>4225.5185700000002</v>
      </c>
      <c r="K32" s="565">
        <f>VLOOKUP(B32,DATAPNETO,9,FALSE)/1.9</f>
        <v>40.43728517763158</v>
      </c>
      <c r="L32" s="566">
        <f>+K32*G32</f>
        <v>34074.882727783028</v>
      </c>
      <c r="M32" s="565">
        <f>VLOOKUP(C32,DATAPNETO,9,FALSE)</f>
        <v>18.33924067074518</v>
      </c>
      <c r="N32" s="573">
        <f>+M32*G32</f>
        <v>15453.744543610135</v>
      </c>
    </row>
    <row r="33" spans="1:14">
      <c r="A33" t="s">
        <v>2616</v>
      </c>
      <c r="B33" t="s">
        <v>2617</v>
      </c>
      <c r="C33" t="s">
        <v>2618</v>
      </c>
      <c r="D33">
        <f>+'Rubros Sub RubRos'!E43</f>
        <v>5.3</v>
      </c>
      <c r="E33" t="str">
        <f>+'Rubros Sub RubRos'!F43</f>
        <v>Grueso Interior bajo revestimiento</v>
      </c>
      <c r="F33" s="2" t="str">
        <f>+'Rubros Sub RubRos'!G43</f>
        <v>m2</v>
      </c>
      <c r="G33" s="560">
        <f>+'Rubros Sub RubRos'!H43</f>
        <v>158.34</v>
      </c>
      <c r="I33" s="565">
        <f>VLOOKUP(A33,DATAPNETO,9,FALSE)</f>
        <v>24.384999999999998</v>
      </c>
      <c r="J33" s="566">
        <f>+I33*G33</f>
        <v>3861.1208999999999</v>
      </c>
      <c r="K33" s="565">
        <f>VLOOKUP(B33,DATAPNETO,9,FALSE)/1.9</f>
        <v>50.366342565789473</v>
      </c>
      <c r="L33" s="566">
        <f>+K33*G33</f>
        <v>7975.0066818671057</v>
      </c>
      <c r="M33" s="565">
        <f>VLOOKUP(C33,DATAPNETO,9,FALSE)</f>
        <v>34.934096029490362</v>
      </c>
      <c r="N33" s="573">
        <f>+M33*G33</f>
        <v>5531.4647653095044</v>
      </c>
    </row>
    <row r="34" spans="1:14">
      <c r="A34" t="s">
        <v>2619</v>
      </c>
      <c r="B34" t="s">
        <v>2620</v>
      </c>
      <c r="C34" t="s">
        <v>2621</v>
      </c>
      <c r="D34">
        <f>+'Rubros Sub RubRos'!E44</f>
        <v>5.4</v>
      </c>
      <c r="E34" t="str">
        <f>+'Rubros Sub RubRos'!F44</f>
        <v>Salpicado cementicio terminacion planchada con llana</v>
      </c>
      <c r="F34" s="2" t="str">
        <f>+'Rubros Sub RubRos'!G44</f>
        <v>m2</v>
      </c>
      <c r="G34" s="560">
        <f>+'Rubros Sub RubRos'!H44</f>
        <v>297</v>
      </c>
      <c r="I34" s="569">
        <f>VLOOKUP(A34,DATAPNETO,9,FALSE)</f>
        <v>59.64</v>
      </c>
      <c r="J34" s="570">
        <f>+I34*G34</f>
        <v>17713.080000000002</v>
      </c>
      <c r="K34" s="569">
        <f>VLOOKUP(B34,DATAPNETO,9,FALSE)/1.9</f>
        <v>45.159765848684209</v>
      </c>
      <c r="L34" s="570">
        <f>+K34*G34</f>
        <v>13412.450457059211</v>
      </c>
      <c r="M34" s="569">
        <f>VLOOKUP(C34,DATAPNETO,9,FALSE)</f>
        <v>20.883169201745183</v>
      </c>
      <c r="N34" s="575">
        <f>+M34*G34</f>
        <v>6202.3012529183197</v>
      </c>
    </row>
    <row r="35" spans="1:14">
      <c r="D35" s="2" t="str">
        <f>+'Rubros Sub RubRos'!E45</f>
        <v>RUBRO VI:</v>
      </c>
      <c r="E35" s="2" t="str">
        <f>+'Rubros Sub RubRos'!F45</f>
        <v>CIELORRASOS</v>
      </c>
      <c r="I35" s="567"/>
      <c r="J35" s="568"/>
      <c r="K35" s="567"/>
      <c r="L35" s="568"/>
      <c r="M35" s="567"/>
      <c r="N35" s="574"/>
    </row>
    <row r="36" spans="1:14">
      <c r="D36" s="2" t="str">
        <f>+'Rubros Sub RubRos'!E46</f>
        <v>RUBRO VII:</v>
      </c>
      <c r="E36" s="2" t="str">
        <f>+'Rubros Sub RubRos'!F46</f>
        <v>CONTRAPISOS, CARPETAS, PISOS, UMBRALES y ZÓCALOS,</v>
      </c>
      <c r="I36" s="567"/>
      <c r="J36" s="568"/>
      <c r="K36" s="567"/>
      <c r="L36" s="568"/>
      <c r="M36" s="567"/>
      <c r="N36" s="574"/>
    </row>
    <row r="37" spans="1:14">
      <c r="A37" t="s">
        <v>2622</v>
      </c>
      <c r="B37" t="s">
        <v>2623</v>
      </c>
      <c r="C37" t="s">
        <v>2624</v>
      </c>
      <c r="D37">
        <f>+'Rubros Sub RubRos'!E47</f>
        <v>7.1</v>
      </c>
      <c r="E37" t="str">
        <f>+'Rubros Sub RubRos'!F47</f>
        <v>De Hº Alivianado con Membrana Asfáltica  (Completa)</v>
      </c>
      <c r="F37" s="2" t="str">
        <f>+'Rubros Sub RubRos'!G47</f>
        <v>m2</v>
      </c>
      <c r="G37" s="560">
        <f>+'Rubros Sub RubRos'!H47</f>
        <v>654</v>
      </c>
      <c r="I37" s="580">
        <f t="shared" ref="I37:I43" si="12">VLOOKUP(A37,DATAPNETO,9,FALSE)</f>
        <v>181.297</v>
      </c>
      <c r="J37" s="581">
        <f t="shared" ref="J37:J43" si="13">+I37*G37</f>
        <v>118568.238</v>
      </c>
      <c r="K37" s="580">
        <f t="shared" ref="K37:K43" si="14">VLOOKUP(B37,DATAPNETO,9,FALSE)/1.9</f>
        <v>86.802202697368429</v>
      </c>
      <c r="L37" s="581">
        <f t="shared" ref="L37:L43" si="15">+K37*G37</f>
        <v>56768.640564078953</v>
      </c>
      <c r="M37" s="580">
        <f t="shared" ref="M37:M43" si="16">VLOOKUP(C37,DATAPNETO,9,FALSE)</f>
        <v>66.479701399490366</v>
      </c>
      <c r="N37" s="582">
        <f t="shared" ref="N37:N43" si="17">+M37*G37</f>
        <v>43477.724715266697</v>
      </c>
    </row>
    <row r="38" spans="1:14">
      <c r="A38" t="s">
        <v>2625</v>
      </c>
      <c r="B38" t="s">
        <v>2626</v>
      </c>
      <c r="C38" t="s">
        <v>2627</v>
      </c>
      <c r="D38">
        <f>+'Rubros Sub RubRos'!E48</f>
        <v>7.2</v>
      </c>
      <c r="E38" t="str">
        <f>+'Rubros Sub RubRos'!F48</f>
        <v>Contrapiso Común Bajo Piso  (-e- 8cm.)</v>
      </c>
      <c r="F38" s="2" t="str">
        <f>+'Rubros Sub RubRos'!G48</f>
        <v>m2</v>
      </c>
      <c r="G38" s="560">
        <f>+'Rubros Sub RubRos'!H48</f>
        <v>557</v>
      </c>
      <c r="I38" s="565">
        <f t="shared" si="12"/>
        <v>278.63001173174996</v>
      </c>
      <c r="J38" s="566">
        <f t="shared" si="13"/>
        <v>155196.91653458471</v>
      </c>
      <c r="K38" s="565">
        <f t="shared" si="14"/>
        <v>45.278245638157898</v>
      </c>
      <c r="L38" s="566">
        <f t="shared" si="15"/>
        <v>25219.982820453948</v>
      </c>
      <c r="M38" s="565">
        <f t="shared" si="16"/>
        <v>37.086347137769998</v>
      </c>
      <c r="N38" s="573">
        <f t="shared" si="17"/>
        <v>20657.095355737889</v>
      </c>
    </row>
    <row r="39" spans="1:14">
      <c r="A39" t="s">
        <v>2628</v>
      </c>
      <c r="B39" t="s">
        <v>2629</v>
      </c>
      <c r="C39" t="s">
        <v>2630</v>
      </c>
      <c r="D39">
        <f>+'Rubros Sub RubRos'!E49</f>
        <v>7.3</v>
      </c>
      <c r="E39" t="str">
        <f>+'Rubros Sub RubRos'!F49</f>
        <v>Carpeta de Asiento bajo Cerámico</v>
      </c>
      <c r="F39" s="2" t="str">
        <f>+'Rubros Sub RubRos'!G49</f>
        <v>m2</v>
      </c>
      <c r="G39" s="560">
        <f>+'Rubros Sub RubRos'!H49</f>
        <v>151</v>
      </c>
      <c r="I39" s="565">
        <f t="shared" si="12"/>
        <v>35.517499999999998</v>
      </c>
      <c r="J39" s="566">
        <f t="shared" si="13"/>
        <v>5363.1424999999999</v>
      </c>
      <c r="K39" s="565">
        <f t="shared" si="14"/>
        <v>30.448987894736842</v>
      </c>
      <c r="L39" s="566">
        <f t="shared" si="15"/>
        <v>4597.7971721052627</v>
      </c>
      <c r="M39" s="565">
        <f t="shared" si="16"/>
        <v>33.865677074490364</v>
      </c>
      <c r="N39" s="573">
        <f t="shared" si="17"/>
        <v>5113.7172382480449</v>
      </c>
    </row>
    <row r="40" spans="1:14">
      <c r="A40" t="s">
        <v>2631</v>
      </c>
      <c r="B40" t="s">
        <v>2632</v>
      </c>
      <c r="C40" t="s">
        <v>2633</v>
      </c>
      <c r="D40">
        <f>+'Rubros Sub RubRos'!E50</f>
        <v>7.4</v>
      </c>
      <c r="E40" t="str">
        <f>+'Rubros Sub RubRos'!F50</f>
        <v>Piso Industrialde Hormigon Llaneado c/endurecedor c/fibra de nylon</v>
      </c>
      <c r="F40" s="2" t="str">
        <f>+'Rubros Sub RubRos'!G50</f>
        <v>m2</v>
      </c>
      <c r="G40" s="560">
        <f>+'Rubros Sub RubRos'!H50</f>
        <v>557</v>
      </c>
      <c r="I40" s="565">
        <f t="shared" si="12"/>
        <v>176.28750000000002</v>
      </c>
      <c r="J40" s="566">
        <f t="shared" si="13"/>
        <v>98192.137500000012</v>
      </c>
      <c r="K40" s="565">
        <f t="shared" si="14"/>
        <v>132.6237842763158</v>
      </c>
      <c r="L40" s="566">
        <f t="shared" si="15"/>
        <v>73871.447841907895</v>
      </c>
      <c r="M40" s="565">
        <f t="shared" si="16"/>
        <v>17.130907605000001</v>
      </c>
      <c r="N40" s="573">
        <f t="shared" si="17"/>
        <v>9541.915535985001</v>
      </c>
    </row>
    <row r="41" spans="1:14">
      <c r="A41" t="s">
        <v>2634</v>
      </c>
      <c r="B41" t="s">
        <v>2635</v>
      </c>
      <c r="C41" t="s">
        <v>2636</v>
      </c>
      <c r="D41">
        <f>+'Rubros Sub RubRos'!E51</f>
        <v>7.5</v>
      </c>
      <c r="E41" t="str">
        <f>+'Rubros Sub RubRos'!F51</f>
        <v>De Cerámico 20 x 20 p/ sanitarios</v>
      </c>
      <c r="F41" s="2" t="str">
        <f>+'Rubros Sub RubRos'!G51</f>
        <v>m2</v>
      </c>
      <c r="G41" s="560">
        <f>+'Rubros Sub RubRos'!H51</f>
        <v>151</v>
      </c>
      <c r="I41" s="565">
        <f t="shared" si="12"/>
        <v>156.86279999999999</v>
      </c>
      <c r="J41" s="566">
        <f t="shared" si="13"/>
        <v>23686.282799999997</v>
      </c>
      <c r="K41" s="565">
        <f t="shared" si="14"/>
        <v>60.04826348684211</v>
      </c>
      <c r="L41" s="566">
        <f t="shared" si="15"/>
        <v>9067.2877865131595</v>
      </c>
      <c r="M41" s="565">
        <f t="shared" si="16"/>
        <v>25.903607022245183</v>
      </c>
      <c r="N41" s="573">
        <f t="shared" si="17"/>
        <v>3911.4446603590227</v>
      </c>
    </row>
    <row r="42" spans="1:14">
      <c r="A42" t="s">
        <v>2637</v>
      </c>
      <c r="B42" t="s">
        <v>2638</v>
      </c>
      <c r="C42" t="s">
        <v>2639</v>
      </c>
      <c r="D42">
        <f>+'Rubros Sub RubRos'!E52</f>
        <v>7.6</v>
      </c>
      <c r="E42" t="str">
        <f>+'Rubros Sub RubRos'!F52</f>
        <v>De Hormigón Alisado terminado al frataz en vereda perimetral</v>
      </c>
      <c r="F42" s="2" t="str">
        <f>+'Rubros Sub RubRos'!G52</f>
        <v>m2</v>
      </c>
      <c r="G42" s="560">
        <f>+'Rubros Sub RubRos'!H52</f>
        <v>292</v>
      </c>
      <c r="I42" s="565">
        <f t="shared" si="12"/>
        <v>195.91250586587498</v>
      </c>
      <c r="J42" s="566">
        <f t="shared" si="13"/>
        <v>57206.451712835493</v>
      </c>
      <c r="K42" s="565">
        <f t="shared" si="14"/>
        <v>60.04826348684211</v>
      </c>
      <c r="L42" s="566">
        <f t="shared" si="15"/>
        <v>17534.092938157897</v>
      </c>
      <c r="M42" s="565">
        <f t="shared" si="16"/>
        <v>42.531022254125361</v>
      </c>
      <c r="N42" s="573">
        <f t="shared" si="17"/>
        <v>12419.058498204606</v>
      </c>
    </row>
    <row r="43" spans="1:14">
      <c r="A43" t="s">
        <v>2640</v>
      </c>
      <c r="B43" t="s">
        <v>2641</v>
      </c>
      <c r="C43" t="s">
        <v>2642</v>
      </c>
      <c r="D43">
        <f>+'Rubros Sub RubRos'!E53</f>
        <v>7.7</v>
      </c>
      <c r="E43" t="str">
        <f>+'Rubros Sub RubRos'!F53</f>
        <v>Zócalo Porcellanatto h: 10 cm color a definir</v>
      </c>
      <c r="F43" s="2" t="str">
        <f>+'Rubros Sub RubRos'!G53</f>
        <v>m2</v>
      </c>
      <c r="G43" s="560">
        <f>+'Rubros Sub RubRos'!H53</f>
        <v>33.049999999999997</v>
      </c>
      <c r="I43" s="569">
        <f t="shared" si="12"/>
        <v>296.71074380165288</v>
      </c>
      <c r="J43" s="570">
        <f t="shared" si="13"/>
        <v>9806.2900826446275</v>
      </c>
      <c r="K43" s="569">
        <f t="shared" si="14"/>
        <v>20.205776921052632</v>
      </c>
      <c r="L43" s="570">
        <f t="shared" si="15"/>
        <v>667.80092724078941</v>
      </c>
      <c r="M43" s="569">
        <f t="shared" si="16"/>
        <v>13.404068798066115</v>
      </c>
      <c r="N43" s="575">
        <f t="shared" si="17"/>
        <v>443.00447377608509</v>
      </c>
    </row>
    <row r="44" spans="1:14">
      <c r="D44" s="2" t="str">
        <f>+'Rubros Sub RubRos'!E54</f>
        <v>RUBRO VIII:</v>
      </c>
      <c r="E44" s="2" t="str">
        <f>+'Rubros Sub RubRos'!F54</f>
        <v>REVESTIMIENTOS</v>
      </c>
      <c r="I44" s="567"/>
      <c r="J44" s="568"/>
      <c r="K44" s="567"/>
      <c r="L44" s="568"/>
      <c r="M44" s="567"/>
      <c r="N44" s="574"/>
    </row>
    <row r="45" spans="1:14">
      <c r="A45" t="s">
        <v>2643</v>
      </c>
      <c r="B45" t="s">
        <v>2644</v>
      </c>
      <c r="C45" t="s">
        <v>2645</v>
      </c>
      <c r="D45">
        <f>+'Rubros Sub RubRos'!E55</f>
        <v>8.1</v>
      </c>
      <c r="E45" t="str">
        <f>+'Rubros Sub RubRos'!F55</f>
        <v>Ceramico</v>
      </c>
      <c r="F45" s="2" t="str">
        <f>+'Rubros Sub RubRos'!G55</f>
        <v>m2</v>
      </c>
      <c r="G45" s="560">
        <f>+'Rubros Sub RubRos'!H55</f>
        <v>151</v>
      </c>
      <c r="I45" s="576">
        <f>VLOOKUP(A45,DATAPNETO,9,FALSE)</f>
        <v>155.93029999999999</v>
      </c>
      <c r="J45" s="583">
        <f>+I45*G45</f>
        <v>23545.475299999998</v>
      </c>
      <c r="K45" s="576">
        <f>VLOOKUP(B45,DATAPNETO,9,FALSE)/1.9</f>
        <v>60.04826348684211</v>
      </c>
      <c r="L45" s="583">
        <f>+K45*G45</f>
        <v>9067.2877865131595</v>
      </c>
      <c r="M45" s="576">
        <f>VLOOKUP(C45,DATAPNETO,9,FALSE)</f>
        <v>10.800880025</v>
      </c>
      <c r="N45" s="584">
        <f>+M45*G45</f>
        <v>1630.9328837749999</v>
      </c>
    </row>
    <row r="46" spans="1:14">
      <c r="D46" s="2" t="str">
        <f>+'Rubros Sub RubRos'!E56</f>
        <v>RUBRO IX:</v>
      </c>
      <c r="E46" s="2" t="str">
        <f>+'Rubros Sub RubRos'!F56</f>
        <v>MESADAS, MARMOLERÍA</v>
      </c>
      <c r="I46" s="567"/>
      <c r="J46" s="568"/>
      <c r="K46" s="567"/>
      <c r="L46" s="568"/>
      <c r="M46" s="567"/>
      <c r="N46" s="574"/>
    </row>
    <row r="47" spans="1:14">
      <c r="A47" t="s">
        <v>2646</v>
      </c>
      <c r="B47" t="s">
        <v>2647</v>
      </c>
      <c r="C47" t="s">
        <v>2648</v>
      </c>
      <c r="D47">
        <f>+'Rubros Sub RubRos'!E57</f>
        <v>9.1</v>
      </c>
      <c r="E47" t="str">
        <f>+'Rubros Sub RubRos'!F57</f>
        <v>Mesadas Baños (2,20 x 0,60)</v>
      </c>
      <c r="F47" s="2" t="str">
        <f>+'Rubros Sub RubRos'!G57</f>
        <v>m2</v>
      </c>
      <c r="G47" s="560">
        <f>+'Rubros Sub RubRos'!H57</f>
        <v>2.64</v>
      </c>
      <c r="I47" s="576">
        <f>VLOOKUP(A47,DATAPNETO,9,FALSE)</f>
        <v>3532</v>
      </c>
      <c r="J47" s="583">
        <f>+I47*G47</f>
        <v>9324.48</v>
      </c>
      <c r="K47" s="576">
        <f>VLOOKUP(B47,DATAPNETO,9,FALSE)/1.9</f>
        <v>5.0366342565789486</v>
      </c>
      <c r="L47" s="583">
        <f>+K47*G47</f>
        <v>13.296714437368426</v>
      </c>
      <c r="M47" s="576">
        <f>VLOOKUP(C47,DATAPNETO,9,FALSE)</f>
        <v>141.6627842035</v>
      </c>
      <c r="N47" s="584">
        <f>+M47*G47</f>
        <v>373.98975029723999</v>
      </c>
    </row>
    <row r="48" spans="1:14">
      <c r="D48" s="2" t="str">
        <f>+'Rubros Sub RubRos'!E58</f>
        <v>RUBRO X:</v>
      </c>
      <c r="E48" s="2" t="str">
        <f>+'Rubros Sub RubRos'!F58</f>
        <v>CARPINTERÍA de MADERA</v>
      </c>
      <c r="I48" s="567"/>
      <c r="J48" s="568"/>
      <c r="K48" s="567"/>
      <c r="L48" s="568"/>
      <c r="M48" s="567"/>
      <c r="N48" s="574"/>
    </row>
    <row r="49" spans="1:14">
      <c r="A49" t="s">
        <v>2649</v>
      </c>
      <c r="B49" t="s">
        <v>2650</v>
      </c>
      <c r="C49" t="s">
        <v>2651</v>
      </c>
      <c r="D49">
        <f>+'Rubros Sub RubRos'!E59</f>
        <v>10.1</v>
      </c>
      <c r="E49" t="str">
        <f>+'Rubros Sub RubRos'!F59</f>
        <v>P3 : 1,00 x 2,05 Hoja (Baño Discapacitados)</v>
      </c>
      <c r="F49" s="2" t="str">
        <f>+'Rubros Sub RubRos'!G59</f>
        <v>ud</v>
      </c>
      <c r="G49" s="560">
        <f>+'Rubros Sub RubRos'!H59</f>
        <v>1</v>
      </c>
      <c r="I49" s="580">
        <f>VLOOKUP(A49,DATAPNETO,9,FALSE)</f>
        <v>1700</v>
      </c>
      <c r="J49" s="581">
        <f>+I49*G49</f>
        <v>1700</v>
      </c>
      <c r="K49" s="580">
        <f>VLOOKUP(B49,DATAPNETO,9,FALSE)/1.9</f>
        <v>19.067642368421051</v>
      </c>
      <c r="L49" s="581">
        <f>+K49*G49</f>
        <v>19.067642368421051</v>
      </c>
      <c r="M49" s="580">
        <f>VLOOKUP(C49,DATAPNETO,9,FALSE)</f>
        <v>69.449140820000011</v>
      </c>
      <c r="N49" s="582">
        <f>+M49*G49</f>
        <v>69.449140820000011</v>
      </c>
    </row>
    <row r="50" spans="1:14">
      <c r="A50" t="s">
        <v>2652</v>
      </c>
      <c r="B50" t="s">
        <v>2653</v>
      </c>
      <c r="C50" t="s">
        <v>2654</v>
      </c>
      <c r="D50">
        <f>+'Rubros Sub RubRos'!E60</f>
        <v>10.199999999999999</v>
      </c>
      <c r="E50" t="str">
        <f>+'Rubros Sub RubRos'!F60</f>
        <v>P2 : 0,95 x 2,05 Hoja (Acceso baños)</v>
      </c>
      <c r="F50" s="2" t="str">
        <f>+'Rubros Sub RubRos'!G60</f>
        <v>ud</v>
      </c>
      <c r="G50" s="560">
        <f>+'Rubros Sub RubRos'!H60</f>
        <v>2</v>
      </c>
      <c r="I50" s="565">
        <f>VLOOKUP(A50,DATAPNETO,9,FALSE)</f>
        <v>1700</v>
      </c>
      <c r="J50" s="566">
        <f>+I50*G50</f>
        <v>3400</v>
      </c>
      <c r="K50" s="565">
        <f>VLOOKUP(B50,DATAPNETO,9,FALSE)/1.9</f>
        <v>19.067642368421051</v>
      </c>
      <c r="L50" s="566">
        <f>+K50*G50</f>
        <v>38.135284736842102</v>
      </c>
      <c r="M50" s="565">
        <f>VLOOKUP(C50,DATAPNETO,9,FALSE)</f>
        <v>69.449140820000011</v>
      </c>
      <c r="N50" s="573">
        <f>+M50*G50</f>
        <v>138.89828164000002</v>
      </c>
    </row>
    <row r="51" spans="1:14">
      <c r="A51" t="s">
        <v>2655</v>
      </c>
      <c r="B51" t="s">
        <v>2656</v>
      </c>
      <c r="C51" t="s">
        <v>2657</v>
      </c>
      <c r="D51">
        <f>+'Rubros Sub RubRos'!E61</f>
        <v>10.3</v>
      </c>
      <c r="E51" t="str">
        <f>+'Rubros Sub RubRos'!F61</f>
        <v>P4:  0,70 x 1,80 Hoja (Baños Retretes)</v>
      </c>
      <c r="F51" s="2" t="str">
        <f>+'Rubros Sub RubRos'!G61</f>
        <v>ud</v>
      </c>
      <c r="G51" s="560">
        <f>+'Rubros Sub RubRos'!H61</f>
        <v>6</v>
      </c>
      <c r="I51" s="569">
        <f>VLOOKUP(A51,DATAPNETO,9,FALSE)</f>
        <v>1700</v>
      </c>
      <c r="J51" s="570">
        <f>+I51*G51</f>
        <v>10200</v>
      </c>
      <c r="K51" s="569">
        <f>VLOOKUP(B51,DATAPNETO,9,FALSE)/1.9</f>
        <v>19.067642368421051</v>
      </c>
      <c r="L51" s="570">
        <f>+K51*G51</f>
        <v>114.40585421052631</v>
      </c>
      <c r="M51" s="569">
        <f>VLOOKUP(C51,DATAPNETO,9,FALSE)</f>
        <v>69.449140820000011</v>
      </c>
      <c r="N51" s="575">
        <f>+M51*G51</f>
        <v>416.69484492000004</v>
      </c>
    </row>
    <row r="52" spans="1:14">
      <c r="D52" s="2" t="str">
        <f>+'Rubros Sub RubRos'!E62</f>
        <v>RUBRO XI:</v>
      </c>
      <c r="E52" s="2" t="str">
        <f>+'Rubros Sub RubRos'!F62</f>
        <v>CARPINTERÍA METÁLICA y HERRERÍA</v>
      </c>
      <c r="I52" s="567"/>
      <c r="J52" s="568"/>
      <c r="K52" s="567"/>
      <c r="L52" s="568"/>
      <c r="M52" s="567"/>
      <c r="N52" s="574"/>
    </row>
    <row r="53" spans="1:14">
      <c r="A53" t="s">
        <v>2658</v>
      </c>
      <c r="B53" t="s">
        <v>2659</v>
      </c>
      <c r="C53" t="s">
        <v>2660</v>
      </c>
      <c r="D53">
        <f>+'Rubros Sub RubRos'!E63</f>
        <v>11.1</v>
      </c>
      <c r="E53" t="str">
        <f>+'Rubros Sub RubRos'!F63</f>
        <v>P1: 1,50 x 2,55</v>
      </c>
      <c r="F53" s="2" t="str">
        <f>+'Rubros Sub RubRos'!G63</f>
        <v>ud</v>
      </c>
      <c r="G53" s="560">
        <f>+'Rubros Sub RubRos'!H63</f>
        <v>8</v>
      </c>
      <c r="I53" s="580">
        <f t="shared" ref="I53:I64" si="18">VLOOKUP(A53,DATAPNETO,9,FALSE)</f>
        <v>16391.7</v>
      </c>
      <c r="J53" s="581">
        <f t="shared" ref="J53:J64" si="19">+I53*G53</f>
        <v>131133.6</v>
      </c>
      <c r="K53" s="580">
        <f t="shared" ref="K53:K64" si="20">VLOOKUP(B53,DATAPNETO,9,FALSE)/1.9</f>
        <v>10.956489375</v>
      </c>
      <c r="L53" s="581">
        <f t="shared" ref="L53:L64" si="21">+K53*G53</f>
        <v>87.651915000000002</v>
      </c>
      <c r="M53" s="580">
        <f t="shared" ref="M53:M64" si="22">VLOOKUP(C53,DATAPNETO,9,FALSE)</f>
        <v>656.50069319250008</v>
      </c>
      <c r="N53" s="582">
        <f t="shared" ref="N53:N64" si="23">+M53*G53</f>
        <v>5252.0055455400006</v>
      </c>
    </row>
    <row r="54" spans="1:14">
      <c r="A54" t="s">
        <v>2661</v>
      </c>
      <c r="B54" t="s">
        <v>2662</v>
      </c>
      <c r="C54" t="s">
        <v>2663</v>
      </c>
      <c r="D54">
        <f>+'Rubros Sub RubRos'!E64</f>
        <v>11.2</v>
      </c>
      <c r="E54" t="str">
        <f>+'Rubros Sub RubRos'!F64</f>
        <v>P2: 1,00 x 2,55 Marco (Acceso Baños)</v>
      </c>
      <c r="F54" s="2" t="str">
        <f>+'Rubros Sub RubRos'!G64</f>
        <v>ud</v>
      </c>
      <c r="G54" s="560">
        <f>+'Rubros Sub RubRos'!H64</f>
        <v>1</v>
      </c>
      <c r="I54" s="565">
        <f t="shared" si="18"/>
        <v>4000</v>
      </c>
      <c r="J54" s="566">
        <f t="shared" si="19"/>
        <v>4000</v>
      </c>
      <c r="K54" s="565">
        <f t="shared" si="20"/>
        <v>202.05776921052635</v>
      </c>
      <c r="L54" s="566">
        <f t="shared" si="21"/>
        <v>202.05776921052635</v>
      </c>
      <c r="M54" s="565">
        <f t="shared" si="22"/>
        <v>175.35639046</v>
      </c>
      <c r="N54" s="573">
        <f t="shared" si="23"/>
        <v>175.35639046</v>
      </c>
    </row>
    <row r="55" spans="1:14">
      <c r="A55" t="s">
        <v>2664</v>
      </c>
      <c r="B55" t="s">
        <v>2665</v>
      </c>
      <c r="C55" t="s">
        <v>2666</v>
      </c>
      <c r="D55">
        <f>+'Rubros Sub RubRos'!E65</f>
        <v>11.3</v>
      </c>
      <c r="E55" t="str">
        <f>+'Rubros Sub RubRos'!F65</f>
        <v>P3: 1,00 x 2,55 Marco (Baño Discapacitados)</v>
      </c>
      <c r="F55" s="2" t="str">
        <f>+'Rubros Sub RubRos'!G65</f>
        <v>ud</v>
      </c>
      <c r="G55" s="560">
        <f>+'Rubros Sub RubRos'!H65</f>
        <v>2</v>
      </c>
      <c r="I55" s="565">
        <f t="shared" si="18"/>
        <v>4000</v>
      </c>
      <c r="J55" s="566">
        <f t="shared" si="19"/>
        <v>8000</v>
      </c>
      <c r="K55" s="565">
        <f t="shared" si="20"/>
        <v>202.05776921052635</v>
      </c>
      <c r="L55" s="566">
        <f t="shared" si="21"/>
        <v>404.11553842105269</v>
      </c>
      <c r="M55" s="565">
        <f t="shared" si="22"/>
        <v>175.35639046</v>
      </c>
      <c r="N55" s="573">
        <f t="shared" si="23"/>
        <v>350.71278092</v>
      </c>
    </row>
    <row r="56" spans="1:14">
      <c r="A56" t="s">
        <v>2667</v>
      </c>
      <c r="B56" t="s">
        <v>2668</v>
      </c>
      <c r="C56" t="s">
        <v>2669</v>
      </c>
      <c r="D56">
        <f>+'Rubros Sub RubRos'!E66</f>
        <v>11.4</v>
      </c>
      <c r="E56" t="str">
        <f>+'Rubros Sub RubRos'!F66</f>
        <v>P4: 0,90 x 1,80 Marco (Baño Retretes)</v>
      </c>
      <c r="F56" s="2" t="str">
        <f>+'Rubros Sub RubRos'!G66</f>
        <v>ud</v>
      </c>
      <c r="G56" s="560">
        <f>+'Rubros Sub RubRos'!H66</f>
        <v>6</v>
      </c>
      <c r="I56" s="565">
        <f t="shared" si="18"/>
        <v>4000</v>
      </c>
      <c r="J56" s="566">
        <f t="shared" si="19"/>
        <v>24000</v>
      </c>
      <c r="K56" s="565">
        <f t="shared" si="20"/>
        <v>202.05776921052635</v>
      </c>
      <c r="L56" s="566">
        <f t="shared" si="21"/>
        <v>1212.3466152631581</v>
      </c>
      <c r="M56" s="565">
        <f t="shared" si="22"/>
        <v>175.35639046</v>
      </c>
      <c r="N56" s="573">
        <f t="shared" si="23"/>
        <v>1052.1383427599999</v>
      </c>
    </row>
    <row r="57" spans="1:14">
      <c r="A57" t="s">
        <v>2670</v>
      </c>
      <c r="B57" t="s">
        <v>2671</v>
      </c>
      <c r="C57" t="s">
        <v>2672</v>
      </c>
      <c r="D57">
        <f>+'Rubros Sub RubRos'!E67</f>
        <v>11.5</v>
      </c>
      <c r="E57" t="str">
        <f>+'Rubros Sub RubRos'!F67</f>
        <v>PV1: 6,73 x 2,55</v>
      </c>
      <c r="F57" s="2" t="str">
        <f>+'Rubros Sub RubRos'!G67</f>
        <v>ud</v>
      </c>
      <c r="G57" s="560">
        <f>+'Rubros Sub RubRos'!H67</f>
        <v>1</v>
      </c>
      <c r="I57" s="565">
        <f t="shared" si="18"/>
        <v>72130.75</v>
      </c>
      <c r="J57" s="566">
        <f t="shared" si="19"/>
        <v>72130.75</v>
      </c>
      <c r="K57" s="565">
        <f t="shared" si="20"/>
        <v>10.956489375</v>
      </c>
      <c r="L57" s="566">
        <f t="shared" si="21"/>
        <v>10.956489375</v>
      </c>
      <c r="M57" s="565">
        <f t="shared" si="22"/>
        <v>2886.0626931925003</v>
      </c>
      <c r="N57" s="573">
        <f t="shared" si="23"/>
        <v>2886.0626931925003</v>
      </c>
    </row>
    <row r="58" spans="1:14">
      <c r="A58" t="s">
        <v>2673</v>
      </c>
      <c r="B58" t="s">
        <v>2674</v>
      </c>
      <c r="C58" t="s">
        <v>2675</v>
      </c>
      <c r="D58">
        <f>+'Rubros Sub RubRos'!E68</f>
        <v>11.6</v>
      </c>
      <c r="E58" t="str">
        <f>+'Rubros Sub RubRos'!F68</f>
        <v>PV2: 6,67 x 2,55</v>
      </c>
      <c r="F58" s="2" t="str">
        <f>+'Rubros Sub RubRos'!G68</f>
        <v>ud</v>
      </c>
      <c r="G58" s="560">
        <f>+'Rubros Sub RubRos'!H68</f>
        <v>4</v>
      </c>
      <c r="I58" s="565">
        <f t="shared" si="18"/>
        <v>55227.42</v>
      </c>
      <c r="J58" s="566">
        <f t="shared" si="19"/>
        <v>220909.68</v>
      </c>
      <c r="K58" s="565">
        <f t="shared" si="20"/>
        <v>10.956489375</v>
      </c>
      <c r="L58" s="566">
        <f t="shared" si="21"/>
        <v>43.825957500000001</v>
      </c>
      <c r="M58" s="565">
        <f t="shared" si="22"/>
        <v>2209.9294931924996</v>
      </c>
      <c r="N58" s="573">
        <f t="shared" si="23"/>
        <v>8839.7179727699986</v>
      </c>
    </row>
    <row r="59" spans="1:14">
      <c r="A59" t="s">
        <v>2676</v>
      </c>
      <c r="B59" t="s">
        <v>2677</v>
      </c>
      <c r="C59" t="s">
        <v>2678</v>
      </c>
      <c r="D59">
        <f>+'Rubros Sub RubRos'!E69</f>
        <v>11.7</v>
      </c>
      <c r="E59" t="str">
        <f>+'Rubros Sub RubRos'!F69</f>
        <v>PV3: 7,86 x 2,25</v>
      </c>
      <c r="F59" s="2" t="str">
        <f>+'Rubros Sub RubRos'!G69</f>
        <v>ud</v>
      </c>
      <c r="G59" s="560">
        <f>+'Rubros Sub RubRos'!H69</f>
        <v>4</v>
      </c>
      <c r="I59" s="565">
        <f t="shared" si="18"/>
        <v>52957.8</v>
      </c>
      <c r="J59" s="566">
        <f t="shared" si="19"/>
        <v>211831.2</v>
      </c>
      <c r="K59" s="565">
        <f t="shared" si="20"/>
        <v>10.956489375</v>
      </c>
      <c r="L59" s="566">
        <f t="shared" si="21"/>
        <v>43.825957500000001</v>
      </c>
      <c r="M59" s="565">
        <f t="shared" si="22"/>
        <v>2119.1446931925002</v>
      </c>
      <c r="N59" s="573">
        <f t="shared" si="23"/>
        <v>8476.5787727700008</v>
      </c>
    </row>
    <row r="60" spans="1:14">
      <c r="A60" t="s">
        <v>2679</v>
      </c>
      <c r="B60" t="s">
        <v>2680</v>
      </c>
      <c r="C60" t="s">
        <v>2681</v>
      </c>
      <c r="D60">
        <f>+'Rubros Sub RubRos'!E70</f>
        <v>11.8</v>
      </c>
      <c r="E60" t="str">
        <f>+'Rubros Sub RubRos'!F70</f>
        <v>PV4: 3,60 x 2,55</v>
      </c>
      <c r="F60" s="2" t="str">
        <f>+'Rubros Sub RubRos'!G70</f>
        <v>ud</v>
      </c>
      <c r="G60" s="560">
        <f>+'Rubros Sub RubRos'!H70</f>
        <v>3</v>
      </c>
      <c r="I60" s="565">
        <f t="shared" si="18"/>
        <v>29421</v>
      </c>
      <c r="J60" s="566">
        <f t="shared" si="19"/>
        <v>88263</v>
      </c>
      <c r="K60" s="565">
        <f t="shared" si="20"/>
        <v>10.956489375</v>
      </c>
      <c r="L60" s="566">
        <f t="shared" si="21"/>
        <v>32.869468124999997</v>
      </c>
      <c r="M60" s="565">
        <f t="shared" si="22"/>
        <v>1177.6726931925</v>
      </c>
      <c r="N60" s="573">
        <f t="shared" si="23"/>
        <v>3533.0180795775</v>
      </c>
    </row>
    <row r="61" spans="1:14">
      <c r="A61" t="s">
        <v>2682</v>
      </c>
      <c r="B61" t="s">
        <v>2683</v>
      </c>
      <c r="C61" t="s">
        <v>2684</v>
      </c>
      <c r="D61">
        <f>+'Rubros Sub RubRos'!E71</f>
        <v>11.9</v>
      </c>
      <c r="E61" t="str">
        <f>+'Rubros Sub RubRos'!F71</f>
        <v>PV5: 3,50 x 2,55</v>
      </c>
      <c r="F61" s="2" t="str">
        <f>+'Rubros Sub RubRos'!G71</f>
        <v>ud</v>
      </c>
      <c r="G61" s="560">
        <f>+'Rubros Sub RubRos'!H71</f>
        <v>3</v>
      </c>
      <c r="I61" s="565">
        <f t="shared" si="18"/>
        <v>29421</v>
      </c>
      <c r="J61" s="566">
        <f t="shared" si="19"/>
        <v>88263</v>
      </c>
      <c r="K61" s="565">
        <f t="shared" si="20"/>
        <v>10.956489375</v>
      </c>
      <c r="L61" s="566">
        <f t="shared" si="21"/>
        <v>32.869468124999997</v>
      </c>
      <c r="M61" s="565">
        <f t="shared" si="22"/>
        <v>1177.6726931925</v>
      </c>
      <c r="N61" s="573">
        <f t="shared" si="23"/>
        <v>3533.0180795775</v>
      </c>
    </row>
    <row r="62" spans="1:14">
      <c r="A62" t="s">
        <v>2685</v>
      </c>
      <c r="B62" t="s">
        <v>2686</v>
      </c>
      <c r="C62" t="s">
        <v>2687</v>
      </c>
      <c r="D62">
        <f>+'Rubros Sub RubRos'!E72</f>
        <v>11.1</v>
      </c>
      <c r="E62" t="str">
        <f>+'Rubros Sub RubRos'!F72</f>
        <v>B1: 6,73 x 0,60</v>
      </c>
      <c r="F62" s="2" t="str">
        <f>+'Rubros Sub RubRos'!G72</f>
        <v>ud</v>
      </c>
      <c r="G62" s="560">
        <f>+'Rubros Sub RubRos'!H72</f>
        <v>14</v>
      </c>
      <c r="I62" s="565">
        <f t="shared" si="18"/>
        <v>17022.150000000001</v>
      </c>
      <c r="J62" s="566">
        <f t="shared" si="19"/>
        <v>238310.10000000003</v>
      </c>
      <c r="K62" s="565">
        <f t="shared" si="20"/>
        <v>10.956489375</v>
      </c>
      <c r="L62" s="566">
        <f t="shared" si="21"/>
        <v>153.39085125</v>
      </c>
      <c r="M62" s="565">
        <f t="shared" si="22"/>
        <v>681.71869319250004</v>
      </c>
      <c r="N62" s="573">
        <f t="shared" si="23"/>
        <v>9544.061704695001</v>
      </c>
    </row>
    <row r="63" spans="1:14">
      <c r="A63" t="s">
        <v>2688</v>
      </c>
      <c r="B63" t="s">
        <v>2689</v>
      </c>
      <c r="C63" t="s">
        <v>2690</v>
      </c>
      <c r="D63">
        <f>+'Rubros Sub RubRos'!E73</f>
        <v>11.11</v>
      </c>
      <c r="E63" t="str">
        <f>+'Rubros Sub RubRos'!F73</f>
        <v>B2: 7,87 x 0,45</v>
      </c>
      <c r="F63" s="2" t="str">
        <f>+'Rubros Sub RubRos'!G73</f>
        <v>ud</v>
      </c>
      <c r="G63" s="560">
        <f>+'Rubros Sub RubRos'!H73</f>
        <v>1</v>
      </c>
      <c r="I63" s="565">
        <f t="shared" si="18"/>
        <v>14878.62</v>
      </c>
      <c r="J63" s="566">
        <f t="shared" si="19"/>
        <v>14878.62</v>
      </c>
      <c r="K63" s="565">
        <f t="shared" si="20"/>
        <v>10.956489375</v>
      </c>
      <c r="L63" s="566">
        <f t="shared" si="21"/>
        <v>10.956489375</v>
      </c>
      <c r="M63" s="565">
        <f t="shared" si="22"/>
        <v>595.97749319250011</v>
      </c>
      <c r="N63" s="573">
        <f t="shared" si="23"/>
        <v>595.97749319250011</v>
      </c>
    </row>
    <row r="64" spans="1:14">
      <c r="A64" t="s">
        <v>2691</v>
      </c>
      <c r="B64" t="s">
        <v>2692</v>
      </c>
      <c r="C64" t="s">
        <v>2693</v>
      </c>
      <c r="D64">
        <f>+'Rubros Sub RubRos'!E74</f>
        <v>11.12</v>
      </c>
      <c r="E64" t="str">
        <f>+'Rubros Sub RubRos'!F74</f>
        <v>Estructura metalica para pergola</v>
      </c>
      <c r="F64" s="2" t="str">
        <f>+'Rubros Sub RubRos'!G74</f>
        <v>m2</v>
      </c>
      <c r="G64" s="560">
        <f>+'Rubros Sub RubRos'!H74</f>
        <v>87.5</v>
      </c>
      <c r="I64" s="569">
        <f t="shared" si="18"/>
        <v>435.79999999999995</v>
      </c>
      <c r="J64" s="570">
        <f t="shared" si="19"/>
        <v>38132.499999999993</v>
      </c>
      <c r="K64" s="569">
        <f t="shared" si="20"/>
        <v>321.56189723684213</v>
      </c>
      <c r="L64" s="570">
        <f t="shared" si="21"/>
        <v>28136.666008223685</v>
      </c>
      <c r="M64" s="569">
        <f t="shared" si="22"/>
        <v>41.870704189999998</v>
      </c>
      <c r="N64" s="575">
        <f t="shared" si="23"/>
        <v>3663.6866166249997</v>
      </c>
    </row>
    <row r="65" spans="1:14">
      <c r="D65" s="2" t="str">
        <f>+'Rubros Sub RubRos'!E75</f>
        <v>RUBRO XII:</v>
      </c>
      <c r="E65" s="2" t="str">
        <f>+'Rubros Sub RubRos'!F75</f>
        <v>INSTALACIÓN ELÉCTRICA</v>
      </c>
      <c r="I65" s="567"/>
      <c r="J65" s="568"/>
      <c r="K65" s="567"/>
      <c r="L65" s="568"/>
      <c r="M65" s="567"/>
      <c r="N65" s="574"/>
    </row>
    <row r="66" spans="1:14">
      <c r="A66" t="s">
        <v>2694</v>
      </c>
      <c r="B66" t="s">
        <v>2695</v>
      </c>
      <c r="C66" t="s">
        <v>2696</v>
      </c>
      <c r="D66">
        <f>+'Rubros Sub RubRos'!E76</f>
        <v>12.1</v>
      </c>
      <c r="E66" t="str">
        <f>+'Rubros Sub RubRos'!F76</f>
        <v>Colocacion de bocas , tendido de cañerias y conductores</v>
      </c>
      <c r="F66" s="2" t="str">
        <f>+'Rubros Sub RubRos'!G76</f>
        <v>ud</v>
      </c>
      <c r="G66" s="560">
        <f>+'Rubros Sub RubRos'!H76</f>
        <v>1</v>
      </c>
      <c r="I66" s="580">
        <f>VLOOKUP(A66,DATAPNETO,9,FALSE)</f>
        <v>170026</v>
      </c>
      <c r="J66" s="581">
        <f>+I66*G66</f>
        <v>170026</v>
      </c>
      <c r="K66" s="580">
        <f>VLOOKUP(B66,DATAPNETO,9,FALSE)/1.9</f>
        <v>79659.241796052636</v>
      </c>
      <c r="L66" s="581">
        <f>+K66*G66</f>
        <v>79659.241796052636</v>
      </c>
      <c r="M66" s="580">
        <f>VLOOKUP(C66,DATAPNETO,9,FALSE)</f>
        <v>12855.1423765</v>
      </c>
      <c r="N66" s="582">
        <f>+M66*G66</f>
        <v>12855.1423765</v>
      </c>
    </row>
    <row r="67" spans="1:14">
      <c r="A67" t="s">
        <v>2697</v>
      </c>
      <c r="B67" t="s">
        <v>2698</v>
      </c>
      <c r="C67" t="s">
        <v>2699</v>
      </c>
      <c r="D67">
        <f>+'Rubros Sub RubRos'!E77</f>
        <v>12.2</v>
      </c>
      <c r="E67" t="str">
        <f>+'Rubros Sub RubRos'!F77</f>
        <v>Medidor trifasico, pilastra y tablero de entrada</v>
      </c>
      <c r="F67" s="2" t="str">
        <f>+'Rubros Sub RubRos'!G77</f>
        <v>gl</v>
      </c>
      <c r="G67" s="560">
        <f>+'Rubros Sub RubRos'!H77</f>
        <v>1</v>
      </c>
      <c r="I67" s="569">
        <f>VLOOKUP(A67,DATAPNETO,9,FALSE)</f>
        <v>20349</v>
      </c>
      <c r="J67" s="570">
        <f>+I67*G67</f>
        <v>20349</v>
      </c>
      <c r="K67" s="569">
        <f>VLOOKUP(B67,DATAPNETO,9,FALSE)/1.9</f>
        <v>40555.764967105264</v>
      </c>
      <c r="L67" s="570">
        <f>+K67*G67</f>
        <v>40555.764967105264</v>
      </c>
      <c r="M67" s="569">
        <f>VLOOKUP(C67,DATAPNETO,9,FALSE)</f>
        <v>3896.1981374999996</v>
      </c>
      <c r="N67" s="575">
        <f>+M67*G67</f>
        <v>3896.1981374999996</v>
      </c>
    </row>
    <row r="68" spans="1:14">
      <c r="D68" s="2" t="str">
        <f>+'Rubros Sub RubRos'!E78</f>
        <v>RUBRO XIII:</v>
      </c>
      <c r="E68" s="2" t="str">
        <f>+'Rubros Sub RubRos'!F78</f>
        <v>INSTALACIÓN SANITARIA</v>
      </c>
      <c r="I68" s="567"/>
      <c r="J68" s="568"/>
      <c r="K68" s="567"/>
      <c r="L68" s="568"/>
      <c r="M68" s="567"/>
      <c r="N68" s="574"/>
    </row>
    <row r="69" spans="1:14">
      <c r="A69" t="s">
        <v>2700</v>
      </c>
      <c r="B69" t="s">
        <v>2701</v>
      </c>
      <c r="C69" t="s">
        <v>2702</v>
      </c>
      <c r="D69">
        <f>+'Rubros Sub RubRos'!E79</f>
        <v>13.1</v>
      </c>
      <c r="E69" t="str">
        <f>+'Rubros Sub RubRos'!F79</f>
        <v>Cañerias Agua y Desagüe</v>
      </c>
      <c r="F69" s="2" t="str">
        <f>+'Rubros Sub RubRos'!G79</f>
        <v>ud</v>
      </c>
      <c r="G69" s="560">
        <f>+'Rubros Sub RubRos'!H79</f>
        <v>1</v>
      </c>
      <c r="I69" s="580">
        <f>VLOOKUP(A69,DATAPNETO,9,FALSE)</f>
        <v>21548.89</v>
      </c>
      <c r="J69" s="581">
        <f>+I69*G69</f>
        <v>21548.89</v>
      </c>
      <c r="K69" s="580">
        <f>VLOOKUP(B69,DATAPNETO,9,FALSE)/1.9</f>
        <v>15012.065871710527</v>
      </c>
      <c r="L69" s="581">
        <f>+K69*G69</f>
        <v>15012.065871710527</v>
      </c>
      <c r="M69" s="580">
        <f>VLOOKUP(C69,DATAPNETO,9,FALSE)</f>
        <v>2002.87260625</v>
      </c>
      <c r="N69" s="582">
        <f>+M69*G69</f>
        <v>2002.87260625</v>
      </c>
    </row>
    <row r="70" spans="1:14">
      <c r="A70" t="s">
        <v>2703</v>
      </c>
      <c r="B70" t="s">
        <v>2704</v>
      </c>
      <c r="C70" t="s">
        <v>2705</v>
      </c>
      <c r="D70">
        <f>+'Rubros Sub RubRos'!E80</f>
        <v>13.2</v>
      </c>
      <c r="E70" t="str">
        <f>+'Rubros Sub RubRos'!F80</f>
        <v>Artefactos y accesorios</v>
      </c>
      <c r="F70" s="2" t="str">
        <f>+'Rubros Sub RubRos'!G80</f>
        <v>gl</v>
      </c>
      <c r="G70" s="560">
        <f>+'Rubros Sub RubRos'!H80</f>
        <v>1</v>
      </c>
      <c r="I70" s="565">
        <f>VLOOKUP(A70,DATAPNETO,9,FALSE)</f>
        <v>62808.130000000012</v>
      </c>
      <c r="J70" s="566">
        <f>+I70*G70</f>
        <v>62808.130000000012</v>
      </c>
      <c r="K70" s="565">
        <f>VLOOKUP(B70,DATAPNETO,9,FALSE)/1.9</f>
        <v>5000.0726309210531</v>
      </c>
      <c r="L70" s="566">
        <f>+K70*G70</f>
        <v>5000.0726309210531</v>
      </c>
      <c r="M70" s="565">
        <f>VLOOKUP(C70,DATAPNETO,9,FALSE)</f>
        <v>2892.3307199500009</v>
      </c>
      <c r="N70" s="573">
        <f>+M70*G70</f>
        <v>2892.3307199500009</v>
      </c>
    </row>
    <row r="71" spans="1:14">
      <c r="A71" t="s">
        <v>2706</v>
      </c>
      <c r="B71" t="s">
        <v>2707</v>
      </c>
      <c r="C71" t="s">
        <v>2708</v>
      </c>
      <c r="D71">
        <f>+'Rubros Sub RubRos'!E81</f>
        <v>13.3</v>
      </c>
      <c r="E71" t="str">
        <f>+'Rubros Sub RubRos'!F81</f>
        <v>Tanque de reserva y bombeo</v>
      </c>
      <c r="F71" s="2" t="str">
        <f>+'Rubros Sub RubRos'!G81</f>
        <v>gl</v>
      </c>
      <c r="G71" s="560">
        <f>+'Rubros Sub RubRos'!H81</f>
        <v>1</v>
      </c>
      <c r="I71" s="565">
        <f>VLOOKUP(A71,DATAPNETO,9,FALSE)</f>
        <v>27262.708000000002</v>
      </c>
      <c r="J71" s="566">
        <f>+I71*G71</f>
        <v>27262.708000000002</v>
      </c>
      <c r="K71" s="565">
        <f>VLOOKUP(B71,DATAPNETO,9,FALSE)/1.9</f>
        <v>5000.0726309210531</v>
      </c>
      <c r="L71" s="566">
        <f>+K71*G71</f>
        <v>5000.0726309210531</v>
      </c>
      <c r="M71" s="565">
        <f>VLOOKUP(C71,DATAPNETO,9,FALSE)</f>
        <v>1470.5138399500001</v>
      </c>
      <c r="N71" s="573">
        <f>+M71*G71</f>
        <v>1470.5138399500001</v>
      </c>
    </row>
    <row r="72" spans="1:14">
      <c r="A72" t="s">
        <v>2709</v>
      </c>
      <c r="B72" t="s">
        <v>2710</v>
      </c>
      <c r="C72" t="s">
        <v>2711</v>
      </c>
      <c r="D72">
        <f>+'Rubros Sub RubRos'!E82</f>
        <v>13.4</v>
      </c>
      <c r="E72" t="str">
        <f>+'Rubros Sub RubRos'!F82</f>
        <v>Conexión de Agua F 19 mm</v>
      </c>
      <c r="F72" s="2" t="str">
        <f>+'Rubros Sub RubRos'!G82</f>
        <v>gl</v>
      </c>
      <c r="G72" s="560">
        <f>+'Rubros Sub RubRos'!H82</f>
        <v>1</v>
      </c>
      <c r="I72" s="565">
        <f>VLOOKUP(A72,DATAPNETO,9,FALSE)</f>
        <v>1291.0700000000002</v>
      </c>
      <c r="J72" s="566">
        <f>+I72*G72</f>
        <v>1291.0700000000002</v>
      </c>
      <c r="K72" s="565">
        <f>VLOOKUP(B72,DATAPNETO,9,FALSE)/1.9</f>
        <v>3002.4131743421053</v>
      </c>
      <c r="L72" s="566">
        <f>+K72*G72</f>
        <v>3002.4131743421053</v>
      </c>
      <c r="M72" s="565">
        <f>VLOOKUP(C72,DATAPNETO,9,FALSE)</f>
        <v>279.82620125</v>
      </c>
      <c r="N72" s="573">
        <f>+M72*G72</f>
        <v>279.82620125</v>
      </c>
    </row>
    <row r="73" spans="1:14">
      <c r="A73" t="s">
        <v>2712</v>
      </c>
      <c r="B73" t="s">
        <v>2713</v>
      </c>
      <c r="C73" t="s">
        <v>2714</v>
      </c>
      <c r="D73">
        <f>+'Rubros Sub RubRos'!E83</f>
        <v>13.5</v>
      </c>
      <c r="E73" t="str">
        <f>+'Rubros Sub RubRos'!F83</f>
        <v>Conexión  a Pozo Absorvente</v>
      </c>
      <c r="F73" s="2" t="str">
        <f>+'Rubros Sub RubRos'!G83</f>
        <v>gl</v>
      </c>
      <c r="G73" s="560">
        <f>+'Rubros Sub RubRos'!H83</f>
        <v>1</v>
      </c>
      <c r="I73" s="569">
        <f>VLOOKUP(A73,DATAPNETO,9,FALSE)</f>
        <v>35033.07</v>
      </c>
      <c r="J73" s="570">
        <f>+I73*G73</f>
        <v>35033.07</v>
      </c>
      <c r="K73" s="569">
        <f>VLOOKUP(B73,DATAPNETO,9,FALSE)/1.9</f>
        <v>21002.471107894737</v>
      </c>
      <c r="L73" s="570">
        <f>+K73*G73</f>
        <v>21002.471107894737</v>
      </c>
      <c r="M73" s="569">
        <f>VLOOKUP(C73,DATAPNETO,9,FALSE)</f>
        <v>2997.5106042000002</v>
      </c>
      <c r="N73" s="575">
        <f>+M73*G73</f>
        <v>2997.5106042000002</v>
      </c>
    </row>
    <row r="74" spans="1:14">
      <c r="D74" s="2" t="str">
        <f>+'Rubros Sub RubRos'!E84</f>
        <v>RUBRO XIV:</v>
      </c>
      <c r="E74" s="2" t="str">
        <f>+'Rubros Sub RubRos'!F84</f>
        <v>INSTALACION de GAS</v>
      </c>
      <c r="I74" s="567"/>
      <c r="J74" s="568"/>
      <c r="K74" s="567"/>
      <c r="L74" s="568"/>
      <c r="M74" s="567"/>
      <c r="N74" s="574"/>
    </row>
    <row r="75" spans="1:14">
      <c r="D75" s="2" t="str">
        <f>+'Rubros Sub RubRos'!E85</f>
        <v>RUBRO XV:</v>
      </c>
      <c r="E75" s="2" t="str">
        <f>+'Rubros Sub RubRos'!F85</f>
        <v>SEGURIDAD</v>
      </c>
      <c r="I75" s="567"/>
      <c r="J75" s="568"/>
      <c r="K75" s="567"/>
      <c r="L75" s="568"/>
      <c r="M75" s="567"/>
      <c r="N75" s="574"/>
    </row>
    <row r="76" spans="1:14">
      <c r="A76" t="s">
        <v>2715</v>
      </c>
      <c r="B76" t="s">
        <v>2716</v>
      </c>
      <c r="C76" t="s">
        <v>2717</v>
      </c>
      <c r="D76">
        <f>+'Rubros Sub RubRos'!E86</f>
        <v>15.1</v>
      </c>
      <c r="E76" t="str">
        <f>+'Rubros Sub RubRos'!F86</f>
        <v>CONTRA INCENDIO - Matafuegos ABC 5kg Colocado - Sello IRAM</v>
      </c>
      <c r="F76" s="2" t="str">
        <f>+'Rubros Sub RubRos'!G86</f>
        <v>ud</v>
      </c>
      <c r="G76" s="560">
        <f>+'Rubros Sub RubRos'!H86</f>
        <v>1</v>
      </c>
      <c r="I76" s="580">
        <f>VLOOKUP(A76,DATAPNETO,9,FALSE)</f>
        <v>3490</v>
      </c>
      <c r="J76" s="581">
        <f>+I76*G76</f>
        <v>3490</v>
      </c>
      <c r="K76" s="580">
        <f>VLOOKUP(B76,DATAPNETO,9,FALSE)/1.9</f>
        <v>42.976245197368421</v>
      </c>
      <c r="L76" s="581">
        <f>+K76*G76</f>
        <v>42.976245197368421</v>
      </c>
      <c r="M76" s="580">
        <f>VLOOKUP(C76,DATAPNETO,9,FALSE)</f>
        <v>142.866194635</v>
      </c>
      <c r="N76" s="582">
        <f>+M76*G76</f>
        <v>142.866194635</v>
      </c>
    </row>
    <row r="77" spans="1:14">
      <c r="A77" t="s">
        <v>2718</v>
      </c>
      <c r="B77" t="s">
        <v>2719</v>
      </c>
      <c r="C77" t="s">
        <v>2720</v>
      </c>
      <c r="D77">
        <f>+'Rubros Sub RubRos'!E87</f>
        <v>15.2</v>
      </c>
      <c r="E77" t="str">
        <f>+'Rubros Sub RubRos'!F87</f>
        <v>CONTRA INCENDIO - Iluminacion de emergencia</v>
      </c>
      <c r="F77" s="2" t="str">
        <f>+'Rubros Sub RubRos'!G87</f>
        <v>gl</v>
      </c>
      <c r="G77" s="560">
        <f>+'Rubros Sub RubRos'!H87</f>
        <v>1</v>
      </c>
      <c r="I77" s="565">
        <f>VLOOKUP(A77,DATAPNETO,9,FALSE)</f>
        <v>8810</v>
      </c>
      <c r="J77" s="566">
        <f>+I77*G77</f>
        <v>8810</v>
      </c>
      <c r="K77" s="565">
        <f>VLOOKUP(B77,DATAPNETO,9,FALSE)/1.9</f>
        <v>304.48987894736842</v>
      </c>
      <c r="L77" s="566">
        <f>+K77*G77</f>
        <v>304.48987894736842</v>
      </c>
      <c r="M77" s="565">
        <f>VLOOKUP(C77,DATAPNETO,9,FALSE)</f>
        <v>375.54123079999999</v>
      </c>
      <c r="N77" s="573">
        <f>+M77*G77</f>
        <v>375.54123079999999</v>
      </c>
    </row>
    <row r="78" spans="1:14">
      <c r="A78" t="s">
        <v>2721</v>
      </c>
      <c r="B78" t="s">
        <v>2722</v>
      </c>
      <c r="C78" t="s">
        <v>2723</v>
      </c>
      <c r="D78">
        <f>+'Rubros Sub RubRos'!E88</f>
        <v>15.3</v>
      </c>
      <c r="E78" t="str">
        <f>+'Rubros Sub RubRos'!F88</f>
        <v>CONTRA INCENDIO - Carteleria</v>
      </c>
      <c r="F78" s="2" t="str">
        <f>+'Rubros Sub RubRos'!G88</f>
        <v>gl</v>
      </c>
      <c r="G78" s="560">
        <f>+'Rubros Sub RubRos'!H88</f>
        <v>1</v>
      </c>
      <c r="I78" s="569">
        <f>VLOOKUP(A78,DATAPNETO,9,FALSE)</f>
        <v>10558</v>
      </c>
      <c r="J78" s="570">
        <f>+I78*G78</f>
        <v>10558</v>
      </c>
      <c r="K78" s="569">
        <f>VLOOKUP(B78,DATAPNETO,9,FALSE)/1.9</f>
        <v>667.32859677631575</v>
      </c>
      <c r="L78" s="570">
        <f>+K78*G78</f>
        <v>667.32859677631575</v>
      </c>
      <c r="M78" s="569">
        <f>VLOOKUP(C78,DATAPNETO,9,FALSE)</f>
        <v>473.03697335500004</v>
      </c>
      <c r="N78" s="575">
        <f>+M78*G78</f>
        <v>473.03697335500004</v>
      </c>
    </row>
    <row r="79" spans="1:14">
      <c r="D79" s="2" t="str">
        <f>+'Rubros Sub RubRos'!E89</f>
        <v>RUBRO XVI:</v>
      </c>
      <c r="E79" s="2" t="str">
        <f>+'Rubros Sub RubRos'!F89</f>
        <v>TERMOMECÁNICA</v>
      </c>
      <c r="I79" s="567"/>
      <c r="J79" s="568"/>
      <c r="K79" s="567"/>
      <c r="L79" s="568"/>
      <c r="M79" s="567"/>
      <c r="N79" s="574"/>
    </row>
    <row r="80" spans="1:14">
      <c r="D80" s="2" t="str">
        <f>+'Rubros Sub RubRos'!E90</f>
        <v>RUBRO XVII:</v>
      </c>
      <c r="E80" s="2" t="str">
        <f>+'Rubros Sub RubRos'!F90</f>
        <v>VIDRIOS y ESPEJOS</v>
      </c>
      <c r="I80" s="567"/>
      <c r="J80" s="568"/>
      <c r="K80" s="567"/>
      <c r="L80" s="568"/>
      <c r="M80" s="567"/>
      <c r="N80" s="574"/>
    </row>
    <row r="81" spans="1:16">
      <c r="D81" s="2" t="str">
        <f>+'Rubros Sub RubRos'!E91</f>
        <v>RUBRO XVIII:</v>
      </c>
      <c r="E81" s="2" t="str">
        <f>+'Rubros Sub RubRos'!F91</f>
        <v>PINTURAS</v>
      </c>
      <c r="I81" s="567"/>
      <c r="J81" s="568"/>
      <c r="K81" s="567"/>
      <c r="L81" s="568"/>
      <c r="M81" s="567"/>
      <c r="N81" s="574"/>
    </row>
    <row r="82" spans="1:16">
      <c r="A82" t="s">
        <v>2724</v>
      </c>
      <c r="B82" t="s">
        <v>2725</v>
      </c>
      <c r="C82" t="s">
        <v>2726</v>
      </c>
      <c r="D82">
        <f>+'Rubros Sub RubRos'!E92</f>
        <v>18.100000000000001</v>
      </c>
      <c r="E82" t="str">
        <f>+'Rubros Sub RubRos'!F92</f>
        <v>Pintura al látex en muros interiores</v>
      </c>
      <c r="F82" s="2" t="str">
        <f>+'Rubros Sub RubRos'!G92</f>
        <v>m2</v>
      </c>
      <c r="G82" s="560">
        <f>+'Rubros Sub RubRos'!H92</f>
        <v>842.66000000000008</v>
      </c>
      <c r="I82" s="580">
        <f>VLOOKUP(A82,DATAPNETO,9,FALSE)</f>
        <v>36.30440909090909</v>
      </c>
      <c r="J82" s="581">
        <f>+I82*G82</f>
        <v>30592.273364545457</v>
      </c>
      <c r="K82" s="580">
        <f>VLOOKUP(B82,DATAPNETO,9,FALSE)/1.9</f>
        <v>81.111529934210523</v>
      </c>
      <c r="L82" s="581">
        <f>+K82*G82</f>
        <v>68349.441814361853</v>
      </c>
      <c r="M82" s="580">
        <f>VLOOKUP(C82,DATAPNETO,9,FALSE)</f>
        <v>7.6166526386363627</v>
      </c>
      <c r="N82" s="582">
        <f>+M82*G82</f>
        <v>6418.2485124733175</v>
      </c>
    </row>
    <row r="83" spans="1:16">
      <c r="A83" t="s">
        <v>2727</v>
      </c>
      <c r="B83" t="s">
        <v>2728</v>
      </c>
      <c r="C83" t="s">
        <v>2729</v>
      </c>
      <c r="D83">
        <f>+'Rubros Sub RubRos'!E93</f>
        <v>18.2</v>
      </c>
      <c r="E83" t="str">
        <f>+'Rubros Sub RubRos'!F93</f>
        <v>Curador acrilico transparente</v>
      </c>
      <c r="F83" s="2" t="str">
        <f>+'Rubros Sub RubRos'!G93</f>
        <v>m2</v>
      </c>
      <c r="G83" s="560">
        <f>+'Rubros Sub RubRos'!H93</f>
        <v>640</v>
      </c>
      <c r="I83" s="565">
        <f>VLOOKUP(A83,DATAPNETO,9,FALSE)</f>
        <v>24.272727272727273</v>
      </c>
      <c r="J83" s="566">
        <f>+I83*G83</f>
        <v>15534.545454545456</v>
      </c>
      <c r="K83" s="565">
        <f>VLOOKUP(B83,DATAPNETO,9,FALSE)/1.9</f>
        <v>81.111529934210523</v>
      </c>
      <c r="L83" s="566">
        <f>+K83*G83</f>
        <v>51911.379157894735</v>
      </c>
      <c r="M83" s="565">
        <f>VLOOKUP(C83,DATAPNETO,9,FALSE)</f>
        <v>7.1353853659090909</v>
      </c>
      <c r="N83" s="573">
        <f>+M83*G83</f>
        <v>4566.6466341818177</v>
      </c>
    </row>
    <row r="84" spans="1:16">
      <c r="A84" t="s">
        <v>2730</v>
      </c>
      <c r="B84" t="s">
        <v>2731</v>
      </c>
      <c r="C84" t="s">
        <v>2732</v>
      </c>
      <c r="D84">
        <f>+'Rubros Sub RubRos'!E94</f>
        <v>18.3</v>
      </c>
      <c r="E84" t="str">
        <f>+'Rubros Sub RubRos'!F94</f>
        <v>Pintura al Latex para exteriores primera calidad color a definir</v>
      </c>
      <c r="F84" s="2" t="str">
        <f>+'Rubros Sub RubRos'!G94</f>
        <v>m2</v>
      </c>
      <c r="G84" s="560">
        <f>+'Rubros Sub RubRos'!H94</f>
        <v>297</v>
      </c>
      <c r="I84" s="565">
        <f>VLOOKUP(A84,DATAPNETO,9,FALSE)</f>
        <v>36.30440909090909</v>
      </c>
      <c r="J84" s="566">
        <f>+I84*G84</f>
        <v>10782.4095</v>
      </c>
      <c r="K84" s="565">
        <f>VLOOKUP(B84,DATAPNETO,9,FALSE)/1.9</f>
        <v>81.111529934210523</v>
      </c>
      <c r="L84" s="566">
        <f>+K84*G84</f>
        <v>24090.124390460525</v>
      </c>
      <c r="M84" s="565">
        <f>VLOOKUP(C84,DATAPNETO,9,FALSE)</f>
        <v>7.6166526386363627</v>
      </c>
      <c r="N84" s="573">
        <f>+M84*G84</f>
        <v>2262.1458336749997</v>
      </c>
    </row>
    <row r="85" spans="1:16">
      <c r="A85" t="s">
        <v>2733</v>
      </c>
      <c r="B85" t="s">
        <v>2734</v>
      </c>
      <c r="C85" t="s">
        <v>2735</v>
      </c>
      <c r="D85">
        <f>+'Rubros Sub RubRos'!E95</f>
        <v>18.399999999999999</v>
      </c>
      <c r="E85" t="str">
        <f>+'Rubros Sub RubRos'!F95</f>
        <v>Esmalte Sintetico en Carpinterias</v>
      </c>
      <c r="F85" s="2" t="str">
        <f>+'Rubros Sub RubRos'!G95</f>
        <v>m2</v>
      </c>
      <c r="G85" s="560">
        <f>+'Rubros Sub RubRos'!H95</f>
        <v>20</v>
      </c>
      <c r="I85" s="569">
        <f>VLOOKUP(A85,DATAPNETO,9,FALSE)</f>
        <v>31.715702479338844</v>
      </c>
      <c r="J85" s="570">
        <f>+I85*G85</f>
        <v>634.31404958677695</v>
      </c>
      <c r="K85" s="569">
        <f>VLOOKUP(B85,DATAPNETO,9,FALSE)/1.9</f>
        <v>81.111529934210523</v>
      </c>
      <c r="L85" s="570">
        <f>+K85*G85</f>
        <v>1622.2305986842105</v>
      </c>
      <c r="M85" s="569">
        <f>VLOOKUP(C85,DATAPNETO,9,FALSE)</f>
        <v>7.4331043741735536</v>
      </c>
      <c r="N85" s="575">
        <f>+M85*G85</f>
        <v>148.66208748347108</v>
      </c>
    </row>
    <row r="86" spans="1:16">
      <c r="D86" s="2" t="str">
        <f>+'Rubros Sub RubRos'!E96</f>
        <v>RUBRO XIX:</v>
      </c>
      <c r="E86" s="2" t="str">
        <f>+'Rubros Sub RubRos'!F96</f>
        <v>TRABAJOS EXTERIORES</v>
      </c>
      <c r="I86" s="567"/>
      <c r="J86" s="568"/>
      <c r="K86" s="567"/>
      <c r="L86" s="568"/>
      <c r="M86" s="567"/>
      <c r="N86" s="574"/>
    </row>
    <row r="87" spans="1:16">
      <c r="D87" s="2" t="str">
        <f>+'Rubros Sub RubRos'!E97</f>
        <v>RUBRO XX:</v>
      </c>
      <c r="E87" s="2" t="str">
        <f>+'Rubros Sub RubRos'!F97</f>
        <v xml:space="preserve"> VARIOS</v>
      </c>
      <c r="I87" s="567"/>
      <c r="J87" s="568"/>
      <c r="K87" s="567"/>
      <c r="L87" s="568"/>
      <c r="M87" s="567"/>
      <c r="N87" s="574"/>
    </row>
    <row r="88" spans="1:16">
      <c r="A88" t="s">
        <v>2736</v>
      </c>
      <c r="B88" t="s">
        <v>2737</v>
      </c>
      <c r="C88" t="s">
        <v>2738</v>
      </c>
      <c r="D88">
        <f>+'Rubros Sub RubRos'!E98</f>
        <v>20.100000000000001</v>
      </c>
      <c r="E88" t="str">
        <f>+'Rubros Sub RubRos'!F98</f>
        <v>Limpieza de Obra</v>
      </c>
      <c r="F88" s="2" t="str">
        <f>+'Rubros Sub RubRos'!G98</f>
        <v>gl</v>
      </c>
      <c r="G88" s="560">
        <f>+'Rubros Sub RubRos'!H98</f>
        <v>1</v>
      </c>
      <c r="I88" s="580">
        <f>VLOOKUP(A88,DATAPNETO,9,FALSE)</f>
        <v>0</v>
      </c>
      <c r="J88" s="581">
        <f>+I88*G88</f>
        <v>0</v>
      </c>
      <c r="K88" s="580">
        <f>VLOOKUP(B88,DATAPNETO,9,FALSE)/1.9</f>
        <v>25183.171282894738</v>
      </c>
      <c r="L88" s="581">
        <f>+K88*G88</f>
        <v>25183.171282894738</v>
      </c>
      <c r="M88" s="580">
        <f>VLOOKUP(C88,DATAPNETO,9,FALSE)</f>
        <v>61313.921017499997</v>
      </c>
      <c r="N88" s="582">
        <f>+M88*G88</f>
        <v>61313.921017499997</v>
      </c>
    </row>
    <row r="89" spans="1:16">
      <c r="A89" t="s">
        <v>2739</v>
      </c>
      <c r="B89" t="s">
        <v>2740</v>
      </c>
      <c r="C89" t="s">
        <v>2741</v>
      </c>
      <c r="D89">
        <f>+'Rubros Sub RubRos'!E99</f>
        <v>20.2</v>
      </c>
      <c r="E89" t="str">
        <f>+'Rubros Sub RubRos'!F99</f>
        <v>Planos conforme a obra aprobados  / Manual de uso y mantenimiento</v>
      </c>
      <c r="F89" s="2" t="str">
        <f>+'Rubros Sub RubRos'!G99</f>
        <v>gl</v>
      </c>
      <c r="G89" s="560">
        <f>+'Rubros Sub RubRos'!H99</f>
        <v>1</v>
      </c>
      <c r="I89" s="569">
        <f>VLOOKUP(A89,DATAPNETO,9,FALSE)</f>
        <v>12500</v>
      </c>
      <c r="J89" s="570">
        <f>+I89*G89</f>
        <v>12500</v>
      </c>
      <c r="K89" s="569">
        <f>VLOOKUP(B89,DATAPNETO,9,FALSE)/1.9</f>
        <v>8.1111529934210544</v>
      </c>
      <c r="L89" s="570">
        <f>+K89*G89</f>
        <v>8.1111529934210544</v>
      </c>
      <c r="M89" s="569">
        <f>VLOOKUP(C89,DATAPNETO,9,FALSE)</f>
        <v>500.61644762750001</v>
      </c>
      <c r="N89" s="575">
        <f>+M89*G89</f>
        <v>500.61644762750001</v>
      </c>
    </row>
    <row r="91" spans="1:16">
      <c r="I91" s="576"/>
      <c r="J91" s="577">
        <f>SUM(J5:J89)</f>
        <v>3748195.2443368165</v>
      </c>
      <c r="K91" s="578"/>
      <c r="L91" s="577">
        <f>SUM(L5:L89)</f>
        <v>1204825.6064111809</v>
      </c>
      <c r="M91" s="578"/>
      <c r="N91" s="579">
        <f>SUM(N5:N89)</f>
        <v>565537.3176728437</v>
      </c>
      <c r="P91" s="64">
        <f>SUM(J91:N91)</f>
        <v>5518558.168420841</v>
      </c>
    </row>
    <row r="92" spans="1:16">
      <c r="I92" s="562"/>
      <c r="K92" s="562">
        <v>2.3E-2</v>
      </c>
      <c r="L92" s="64">
        <f>+K92*L91</f>
        <v>27710.988947457161</v>
      </c>
      <c r="M92" t="s">
        <v>2742</v>
      </c>
    </row>
    <row r="93" spans="1:16">
      <c r="I93" s="562"/>
      <c r="K93" s="562">
        <v>0.8</v>
      </c>
      <c r="L93" s="561">
        <f>+L91*K93</f>
        <v>963860.48512894474</v>
      </c>
      <c r="M93" t="s">
        <v>2743</v>
      </c>
    </row>
    <row r="95" spans="1:16">
      <c r="L95" s="64">
        <f>SUM(L91:L93)</f>
        <v>2196397.0804875828</v>
      </c>
    </row>
    <row r="96" spans="1:16">
      <c r="L96" s="561">
        <f>+L91*1.9</f>
        <v>2289168.6521812435</v>
      </c>
    </row>
  </sheetData>
  <mergeCells count="4">
    <mergeCell ref="I3:J3"/>
    <mergeCell ref="K3:L3"/>
    <mergeCell ref="M3:N3"/>
    <mergeCell ref="I2:N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baseColWidth="10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6"/>
  <sheetViews>
    <sheetView workbookViewId="0">
      <selection activeCell="D15" sqref="D15"/>
    </sheetView>
  </sheetViews>
  <sheetFormatPr baseColWidth="10" defaultRowHeight="15"/>
  <cols>
    <col min="1" max="1" width="38.28515625" customWidth="1"/>
    <col min="4" max="4" width="11.42578125" customWidth="1"/>
  </cols>
  <sheetData>
    <row r="3" spans="1:10" ht="15.75" thickBot="1"/>
    <row r="4" spans="1:10" ht="15.75" thickBot="1">
      <c r="A4" s="200" t="s">
        <v>1715</v>
      </c>
      <c r="B4" s="201" t="s">
        <v>82</v>
      </c>
      <c r="C4" s="201" t="s">
        <v>1716</v>
      </c>
      <c r="D4" s="643" t="s">
        <v>1717</v>
      </c>
      <c r="E4" s="644"/>
      <c r="F4" s="644"/>
      <c r="G4" s="645"/>
      <c r="H4" s="202" t="s">
        <v>1718</v>
      </c>
      <c r="I4" s="203" t="s">
        <v>1719</v>
      </c>
      <c r="J4" s="202"/>
    </row>
    <row r="5" spans="1:10">
      <c r="A5" s="204" t="s">
        <v>1720</v>
      </c>
      <c r="B5" s="205"/>
      <c r="C5" s="206"/>
      <c r="D5" s="207" t="s">
        <v>1810</v>
      </c>
      <c r="E5" s="208" t="s">
        <v>616</v>
      </c>
      <c r="F5" s="208" t="s">
        <v>1811</v>
      </c>
      <c r="G5" s="209"/>
      <c r="I5" s="210"/>
      <c r="J5" s="211"/>
    </row>
    <row r="6" spans="1:10">
      <c r="A6" s="212" t="s">
        <v>1769</v>
      </c>
      <c r="B6" s="213" t="s">
        <v>778</v>
      </c>
      <c r="C6" s="212">
        <f>(D6+E6+F6+G6)*4</f>
        <v>72</v>
      </c>
      <c r="D6" s="214">
        <f>(3+1+2)+(6)+(3+1+2)</f>
        <v>18</v>
      </c>
      <c r="E6" s="215"/>
      <c r="F6" s="215"/>
      <c r="G6" s="216"/>
      <c r="H6" s="139">
        <v>28.3</v>
      </c>
      <c r="I6" s="217">
        <f>C6*H6</f>
        <v>2037.6000000000001</v>
      </c>
      <c r="J6" s="218"/>
    </row>
    <row r="7" spans="1:10">
      <c r="A7" s="212" t="s">
        <v>1770</v>
      </c>
      <c r="B7" s="213" t="s">
        <v>778</v>
      </c>
      <c r="C7" s="212">
        <f t="shared" ref="C7:C24" si="0">(D7+E7+F7+G7)*4</f>
        <v>24</v>
      </c>
      <c r="D7" s="219">
        <f>(2)+(2+2)</f>
        <v>6</v>
      </c>
      <c r="E7" s="220"/>
      <c r="F7" s="220"/>
      <c r="G7" s="221"/>
      <c r="H7" s="139">
        <v>35.9</v>
      </c>
      <c r="I7" s="217">
        <f t="shared" ref="I7:I23" si="1">C7*H7</f>
        <v>861.59999999999991</v>
      </c>
      <c r="J7" s="218"/>
    </row>
    <row r="8" spans="1:10">
      <c r="A8" s="212" t="s">
        <v>1771</v>
      </c>
      <c r="B8" s="213" t="s">
        <v>778</v>
      </c>
      <c r="C8" s="212">
        <f t="shared" si="0"/>
        <v>16</v>
      </c>
      <c r="D8" s="219">
        <f>2+2</f>
        <v>4</v>
      </c>
      <c r="E8" s="220"/>
      <c r="F8" s="220"/>
      <c r="G8" s="221"/>
      <c r="H8" s="139">
        <v>47.2</v>
      </c>
      <c r="I8" s="217">
        <f t="shared" si="1"/>
        <v>755.2</v>
      </c>
      <c r="J8" s="218"/>
    </row>
    <row r="9" spans="1:10">
      <c r="A9" s="212" t="s">
        <v>1772</v>
      </c>
      <c r="B9" s="213" t="s">
        <v>778</v>
      </c>
      <c r="C9" s="212">
        <f t="shared" si="0"/>
        <v>184</v>
      </c>
      <c r="D9" s="220">
        <f>(3+3+7+2)+(13+12)+(2+4)</f>
        <v>46</v>
      </c>
      <c r="E9" s="220"/>
      <c r="F9" s="220"/>
      <c r="G9" s="221"/>
      <c r="H9" s="139">
        <v>52.7</v>
      </c>
      <c r="I9" s="217">
        <f t="shared" si="1"/>
        <v>9696.8000000000011</v>
      </c>
      <c r="J9" s="218"/>
    </row>
    <row r="10" spans="1:10">
      <c r="A10" s="212" t="s">
        <v>1721</v>
      </c>
      <c r="B10" s="213" t="s">
        <v>1722</v>
      </c>
      <c r="C10" s="212">
        <f t="shared" si="0"/>
        <v>56</v>
      </c>
      <c r="D10" s="219">
        <f>2*3+2+2*3</f>
        <v>14</v>
      </c>
      <c r="E10" s="220"/>
      <c r="F10" s="220"/>
      <c r="G10" s="221"/>
      <c r="H10" s="139">
        <v>4.7</v>
      </c>
      <c r="I10" s="217">
        <f t="shared" si="1"/>
        <v>263.2</v>
      </c>
      <c r="J10" s="218"/>
    </row>
    <row r="11" spans="1:10">
      <c r="A11" s="212" t="s">
        <v>1723</v>
      </c>
      <c r="B11" s="213" t="s">
        <v>1722</v>
      </c>
      <c r="C11" s="212">
        <f t="shared" si="0"/>
        <v>16</v>
      </c>
      <c r="D11" s="219">
        <f>2+2</f>
        <v>4</v>
      </c>
      <c r="E11" s="220"/>
      <c r="F11" s="220"/>
      <c r="G11" s="221"/>
      <c r="H11" s="139">
        <v>7.9</v>
      </c>
      <c r="I11" s="217">
        <f t="shared" si="1"/>
        <v>126.4</v>
      </c>
      <c r="J11" s="218"/>
    </row>
    <row r="12" spans="1:10">
      <c r="A12" s="212" t="s">
        <v>1724</v>
      </c>
      <c r="B12" s="213" t="s">
        <v>1722</v>
      </c>
      <c r="C12" s="212">
        <f t="shared" si="0"/>
        <v>8</v>
      </c>
      <c r="D12" s="219">
        <f>1+1</f>
        <v>2</v>
      </c>
      <c r="E12" s="220"/>
      <c r="F12" s="220"/>
      <c r="G12" s="221"/>
      <c r="H12" s="139">
        <v>11</v>
      </c>
      <c r="I12" s="217">
        <f t="shared" si="1"/>
        <v>88</v>
      </c>
      <c r="J12" s="218"/>
    </row>
    <row r="13" spans="1:10">
      <c r="A13" s="212" t="s">
        <v>1725</v>
      </c>
      <c r="B13" s="213" t="s">
        <v>1722</v>
      </c>
      <c r="C13" s="212">
        <f t="shared" si="0"/>
        <v>24</v>
      </c>
      <c r="D13" s="219">
        <f>2+2+2</f>
        <v>6</v>
      </c>
      <c r="E13" s="220"/>
      <c r="F13" s="220"/>
      <c r="G13" s="221"/>
      <c r="H13" s="139">
        <v>21.5</v>
      </c>
      <c r="I13" s="217">
        <f t="shared" si="1"/>
        <v>516</v>
      </c>
      <c r="J13" s="218"/>
    </row>
    <row r="14" spans="1:10">
      <c r="A14" s="212" t="s">
        <v>1726</v>
      </c>
      <c r="B14" s="213" t="s">
        <v>1722</v>
      </c>
      <c r="C14" s="212">
        <f t="shared" si="0"/>
        <v>8</v>
      </c>
      <c r="D14" s="219">
        <f>1+1</f>
        <v>2</v>
      </c>
      <c r="E14" s="220"/>
      <c r="F14" s="220"/>
      <c r="G14" s="221"/>
      <c r="H14" s="139">
        <v>35.799999999999997</v>
      </c>
      <c r="I14" s="217">
        <f t="shared" si="1"/>
        <v>286.39999999999998</v>
      </c>
      <c r="J14" s="218"/>
    </row>
    <row r="15" spans="1:10">
      <c r="A15" s="240" t="s">
        <v>1756</v>
      </c>
      <c r="B15" s="213" t="s">
        <v>1722</v>
      </c>
      <c r="C15" s="212">
        <f t="shared" si="0"/>
        <v>0</v>
      </c>
      <c r="D15" s="219"/>
      <c r="E15" s="220"/>
      <c r="F15" s="220"/>
      <c r="G15" s="221"/>
      <c r="H15" s="139">
        <v>17.899999999999999</v>
      </c>
      <c r="I15" s="217">
        <f t="shared" si="1"/>
        <v>0</v>
      </c>
      <c r="J15" s="218"/>
    </row>
    <row r="16" spans="1:10">
      <c r="A16" s="212" t="s">
        <v>1727</v>
      </c>
      <c r="B16" s="213" t="s">
        <v>1722</v>
      </c>
      <c r="C16" s="212">
        <f t="shared" si="0"/>
        <v>0</v>
      </c>
      <c r="D16" s="219"/>
      <c r="E16" s="220"/>
      <c r="F16" s="220"/>
      <c r="G16" s="221"/>
      <c r="H16" s="139">
        <v>55.5</v>
      </c>
      <c r="I16" s="217">
        <f t="shared" si="1"/>
        <v>0</v>
      </c>
      <c r="J16" s="218"/>
    </row>
    <row r="17" spans="1:10">
      <c r="A17" s="212" t="s">
        <v>1728</v>
      </c>
      <c r="B17" s="213" t="s">
        <v>1722</v>
      </c>
      <c r="C17" s="212">
        <f t="shared" si="0"/>
        <v>0</v>
      </c>
      <c r="D17" s="219"/>
      <c r="E17" s="220"/>
      <c r="F17" s="220"/>
      <c r="G17" s="221"/>
      <c r="H17" s="139">
        <v>47.9</v>
      </c>
      <c r="I17" s="217">
        <f t="shared" si="1"/>
        <v>0</v>
      </c>
      <c r="J17" s="218"/>
    </row>
    <row r="18" spans="1:10">
      <c r="A18" s="212" t="s">
        <v>1729</v>
      </c>
      <c r="B18" s="213" t="s">
        <v>1722</v>
      </c>
      <c r="C18" s="212">
        <f t="shared" si="0"/>
        <v>0</v>
      </c>
      <c r="D18" s="219"/>
      <c r="E18" s="220"/>
      <c r="F18" s="220"/>
      <c r="G18" s="221"/>
      <c r="H18" s="139">
        <v>45.7</v>
      </c>
      <c r="I18" s="217">
        <f t="shared" si="1"/>
        <v>0</v>
      </c>
      <c r="J18" s="218"/>
    </row>
    <row r="19" spans="1:10">
      <c r="A19" s="212" t="s">
        <v>1730</v>
      </c>
      <c r="B19" s="213" t="s">
        <v>1722</v>
      </c>
      <c r="C19" s="212">
        <f t="shared" si="0"/>
        <v>0</v>
      </c>
      <c r="D19" s="219"/>
      <c r="E19" s="220"/>
      <c r="F19" s="220"/>
      <c r="G19" s="221"/>
      <c r="H19" s="139">
        <f>12+6.7*4+14</f>
        <v>52.8</v>
      </c>
      <c r="I19" s="217">
        <f t="shared" si="1"/>
        <v>0</v>
      </c>
      <c r="J19" s="218"/>
    </row>
    <row r="20" spans="1:10">
      <c r="A20" s="212" t="s">
        <v>1731</v>
      </c>
      <c r="B20" s="213" t="s">
        <v>1722</v>
      </c>
      <c r="C20" s="212">
        <f t="shared" si="0"/>
        <v>0</v>
      </c>
      <c r="D20" s="219"/>
      <c r="E20" s="220"/>
      <c r="F20" s="220"/>
      <c r="G20" s="221"/>
      <c r="H20" s="139">
        <v>406</v>
      </c>
      <c r="I20" s="217">
        <f t="shared" si="1"/>
        <v>0</v>
      </c>
      <c r="J20" s="218"/>
    </row>
    <row r="21" spans="1:10">
      <c r="A21" s="212" t="s">
        <v>1733</v>
      </c>
      <c r="B21" s="213" t="s">
        <v>1722</v>
      </c>
      <c r="C21" s="212">
        <f t="shared" si="0"/>
        <v>0</v>
      </c>
      <c r="D21" s="219"/>
      <c r="E21" s="220"/>
      <c r="F21" s="220"/>
      <c r="G21" s="221"/>
      <c r="H21" s="139">
        <v>6.7</v>
      </c>
      <c r="I21" s="217">
        <f t="shared" si="1"/>
        <v>0</v>
      </c>
      <c r="J21" s="218"/>
    </row>
    <row r="22" spans="1:10">
      <c r="A22" s="233" t="s">
        <v>1787</v>
      </c>
      <c r="B22" s="234" t="s">
        <v>1722</v>
      </c>
      <c r="C22" s="212">
        <f t="shared" si="0"/>
        <v>0</v>
      </c>
      <c r="D22" s="219"/>
      <c r="E22" s="220"/>
      <c r="F22" s="220"/>
      <c r="G22" s="221"/>
      <c r="H22" s="139">
        <v>44.7</v>
      </c>
      <c r="I22" s="217">
        <f t="shared" si="1"/>
        <v>0</v>
      </c>
      <c r="J22" s="218"/>
    </row>
    <row r="23" spans="1:10">
      <c r="A23" s="244" t="s">
        <v>1734</v>
      </c>
      <c r="B23" s="245" t="s">
        <v>1722</v>
      </c>
      <c r="C23" s="212">
        <f t="shared" si="0"/>
        <v>0</v>
      </c>
      <c r="D23" s="219"/>
      <c r="E23" s="220"/>
      <c r="F23" s="220"/>
      <c r="G23" s="221"/>
      <c r="H23" s="139">
        <v>28</v>
      </c>
      <c r="I23" s="217">
        <f t="shared" si="1"/>
        <v>0</v>
      </c>
      <c r="J23" s="218"/>
    </row>
    <row r="24" spans="1:10" ht="15.75" thickBot="1">
      <c r="A24" s="222" t="s">
        <v>1732</v>
      </c>
      <c r="B24" s="246" t="s">
        <v>94</v>
      </c>
      <c r="C24" s="212">
        <f t="shared" si="0"/>
        <v>0</v>
      </c>
      <c r="D24" s="219"/>
      <c r="E24" s="220"/>
      <c r="F24" s="220"/>
      <c r="G24" s="221"/>
      <c r="H24" s="139">
        <v>100</v>
      </c>
      <c r="I24" s="224">
        <f>C24*H24</f>
        <v>0</v>
      </c>
      <c r="J24" s="203" t="s">
        <v>1719</v>
      </c>
    </row>
    <row r="25" spans="1:10" ht="15.75" thickBot="1">
      <c r="A25" s="225"/>
      <c r="B25" s="219"/>
      <c r="C25" s="212"/>
      <c r="D25" s="226"/>
      <c r="E25" s="227"/>
      <c r="F25" s="227"/>
      <c r="G25" s="228"/>
      <c r="H25" s="139"/>
      <c r="I25" s="218"/>
      <c r="J25" s="229">
        <f>I6+I7+I8+I9+I10+I11+I12+I13+I14+I15+I16+I17+I18+I19+I20+I21+I22+I23+I24</f>
        <v>14631.2</v>
      </c>
    </row>
    <row r="26" spans="1:10">
      <c r="A26" s="204" t="s">
        <v>1735</v>
      </c>
      <c r="B26" s="205"/>
      <c r="C26" s="206"/>
      <c r="D26" s="238"/>
      <c r="E26" s="238"/>
      <c r="F26" s="238"/>
      <c r="G26" s="239"/>
      <c r="H26" s="139"/>
      <c r="I26" s="218"/>
      <c r="J26" s="230"/>
    </row>
    <row r="27" spans="1:10">
      <c r="A27" s="212" t="s">
        <v>1736</v>
      </c>
      <c r="B27" s="213" t="s">
        <v>778</v>
      </c>
      <c r="C27" s="212">
        <f t="shared" ref="C27:C42" si="2">(D27+E27+F27+G27)*4</f>
        <v>0</v>
      </c>
      <c r="D27" s="219"/>
      <c r="E27" s="220"/>
      <c r="F27" s="220"/>
      <c r="G27" s="221"/>
      <c r="H27" s="217">
        <v>18</v>
      </c>
      <c r="I27" s="231">
        <f t="shared" ref="I27:I41" si="3">C27*H27</f>
        <v>0</v>
      </c>
      <c r="J27" s="218"/>
    </row>
    <row r="28" spans="1:10">
      <c r="A28" s="212" t="s">
        <v>1737</v>
      </c>
      <c r="B28" s="213" t="s">
        <v>778</v>
      </c>
      <c r="C28" s="212">
        <f t="shared" si="2"/>
        <v>0</v>
      </c>
      <c r="D28" s="219"/>
      <c r="E28" s="220"/>
      <c r="F28" s="220"/>
      <c r="G28" s="221"/>
      <c r="H28" s="217">
        <v>25</v>
      </c>
      <c r="I28" s="217">
        <f t="shared" si="3"/>
        <v>0</v>
      </c>
      <c r="J28" s="218"/>
    </row>
    <row r="29" spans="1:10">
      <c r="A29" s="212" t="s">
        <v>1738</v>
      </c>
      <c r="B29" s="213" t="s">
        <v>1722</v>
      </c>
      <c r="C29" s="212">
        <f t="shared" si="2"/>
        <v>0</v>
      </c>
      <c r="D29" s="219"/>
      <c r="E29" s="220"/>
      <c r="F29" s="220"/>
      <c r="G29" s="221"/>
      <c r="H29" s="217">
        <v>4.3</v>
      </c>
      <c r="I29" s="217">
        <f t="shared" si="3"/>
        <v>0</v>
      </c>
      <c r="J29" s="218"/>
    </row>
    <row r="30" spans="1:10">
      <c r="A30" s="212" t="s">
        <v>1739</v>
      </c>
      <c r="B30" s="213" t="s">
        <v>1722</v>
      </c>
      <c r="C30" s="212">
        <f t="shared" si="2"/>
        <v>0</v>
      </c>
      <c r="D30" s="219"/>
      <c r="E30" s="220"/>
      <c r="F30" s="220"/>
      <c r="G30" s="221"/>
      <c r="H30" s="217">
        <v>7.4</v>
      </c>
      <c r="I30" s="217">
        <f t="shared" si="3"/>
        <v>0</v>
      </c>
      <c r="J30" s="218"/>
    </row>
    <row r="31" spans="1:10">
      <c r="A31" s="212" t="s">
        <v>1757</v>
      </c>
      <c r="B31" s="213" t="s">
        <v>1722</v>
      </c>
      <c r="C31" s="212">
        <f t="shared" si="2"/>
        <v>0</v>
      </c>
      <c r="D31" s="219"/>
      <c r="E31" s="220"/>
      <c r="F31" s="220"/>
      <c r="G31" s="221"/>
      <c r="H31" s="217">
        <v>3.2</v>
      </c>
      <c r="I31" s="217">
        <f t="shared" si="3"/>
        <v>0</v>
      </c>
      <c r="J31" s="218"/>
    </row>
    <row r="32" spans="1:10">
      <c r="A32" s="212" t="s">
        <v>1758</v>
      </c>
      <c r="B32" s="213" t="s">
        <v>1722</v>
      </c>
      <c r="C32" s="212">
        <f t="shared" si="2"/>
        <v>0</v>
      </c>
      <c r="D32" s="219"/>
      <c r="E32" s="220"/>
      <c r="F32" s="220"/>
      <c r="G32" s="221"/>
      <c r="H32" s="217">
        <v>5.7</v>
      </c>
      <c r="I32" s="217">
        <f t="shared" si="3"/>
        <v>0</v>
      </c>
      <c r="J32" s="218"/>
    </row>
    <row r="33" spans="1:10">
      <c r="A33" s="212" t="s">
        <v>1759</v>
      </c>
      <c r="B33" s="213" t="s">
        <v>1722</v>
      </c>
      <c r="C33" s="212">
        <f t="shared" si="2"/>
        <v>0</v>
      </c>
      <c r="D33" s="219"/>
      <c r="E33" s="220"/>
      <c r="F33" s="220"/>
      <c r="G33" s="221"/>
      <c r="H33" s="217">
        <v>19.899999999999999</v>
      </c>
      <c r="I33" s="217">
        <f t="shared" si="3"/>
        <v>0</v>
      </c>
      <c r="J33" s="218"/>
    </row>
    <row r="34" spans="1:10">
      <c r="A34" s="212" t="s">
        <v>1760</v>
      </c>
      <c r="B34" s="213" t="s">
        <v>1722</v>
      </c>
      <c r="C34" s="212">
        <f t="shared" si="2"/>
        <v>0</v>
      </c>
      <c r="D34" s="219"/>
      <c r="E34" s="220"/>
      <c r="F34" s="220"/>
      <c r="G34" s="221"/>
      <c r="H34" s="217">
        <v>32.1</v>
      </c>
      <c r="I34" s="217">
        <f t="shared" si="3"/>
        <v>0</v>
      </c>
      <c r="J34" s="218"/>
    </row>
    <row r="35" spans="1:10">
      <c r="A35" s="212" t="s">
        <v>1740</v>
      </c>
      <c r="B35" s="213" t="s">
        <v>1722</v>
      </c>
      <c r="C35" s="212">
        <f t="shared" si="2"/>
        <v>0</v>
      </c>
      <c r="D35" s="219"/>
      <c r="E35" s="220"/>
      <c r="F35" s="220"/>
      <c r="G35" s="221"/>
      <c r="H35" s="217">
        <v>23.8</v>
      </c>
      <c r="I35" s="217">
        <f t="shared" si="3"/>
        <v>0</v>
      </c>
      <c r="J35" s="218"/>
    </row>
    <row r="36" spans="1:10">
      <c r="A36" s="212" t="s">
        <v>1741</v>
      </c>
      <c r="B36" s="213" t="s">
        <v>1722</v>
      </c>
      <c r="C36" s="212">
        <f t="shared" si="2"/>
        <v>0</v>
      </c>
      <c r="D36" s="219"/>
      <c r="E36" s="220"/>
      <c r="F36" s="220"/>
      <c r="G36" s="221"/>
      <c r="H36" s="217">
        <v>32.4</v>
      </c>
      <c r="I36" s="217">
        <f t="shared" si="3"/>
        <v>0</v>
      </c>
      <c r="J36" s="218"/>
    </row>
    <row r="37" spans="1:10">
      <c r="A37" s="212" t="s">
        <v>1761</v>
      </c>
      <c r="B37" s="213" t="s">
        <v>1722</v>
      </c>
      <c r="C37" s="212">
        <f t="shared" si="2"/>
        <v>0</v>
      </c>
      <c r="D37" s="219"/>
      <c r="E37" s="220"/>
      <c r="F37" s="220"/>
      <c r="G37" s="221"/>
      <c r="H37" s="217">
        <v>81.2</v>
      </c>
      <c r="I37" s="217">
        <f t="shared" si="3"/>
        <v>0</v>
      </c>
      <c r="J37" s="218"/>
    </row>
    <row r="38" spans="1:10">
      <c r="A38" s="212" t="s">
        <v>1762</v>
      </c>
      <c r="B38" s="213" t="s">
        <v>1722</v>
      </c>
      <c r="C38" s="212">
        <f t="shared" si="2"/>
        <v>0</v>
      </c>
      <c r="D38" s="219"/>
      <c r="E38" s="220"/>
      <c r="F38" s="220"/>
      <c r="G38" s="221"/>
      <c r="H38" s="217">
        <v>105.3</v>
      </c>
      <c r="I38" s="217">
        <f t="shared" si="3"/>
        <v>0</v>
      </c>
      <c r="J38" s="218"/>
    </row>
    <row r="39" spans="1:10">
      <c r="A39" s="212" t="s">
        <v>1742</v>
      </c>
      <c r="B39" s="213" t="s">
        <v>1722</v>
      </c>
      <c r="C39" s="212">
        <f t="shared" si="2"/>
        <v>0</v>
      </c>
      <c r="D39" s="219"/>
      <c r="E39" s="220"/>
      <c r="F39" s="220"/>
      <c r="G39" s="221"/>
      <c r="H39" s="217">
        <v>237.9</v>
      </c>
      <c r="I39" s="217">
        <f t="shared" si="3"/>
        <v>0</v>
      </c>
      <c r="J39" s="218"/>
    </row>
    <row r="40" spans="1:10">
      <c r="A40" s="212" t="s">
        <v>1743</v>
      </c>
      <c r="B40" s="213" t="s">
        <v>1722</v>
      </c>
      <c r="C40" s="212">
        <f t="shared" si="2"/>
        <v>0</v>
      </c>
      <c r="D40" s="219"/>
      <c r="E40" s="220"/>
      <c r="F40" s="220"/>
      <c r="G40" s="221"/>
      <c r="H40" s="217">
        <v>268.39999999999998</v>
      </c>
      <c r="I40" s="217">
        <f t="shared" si="3"/>
        <v>0</v>
      </c>
      <c r="J40" s="218"/>
    </row>
    <row r="41" spans="1:10">
      <c r="A41" s="212" t="s">
        <v>1744</v>
      </c>
      <c r="B41" s="213" t="s">
        <v>1722</v>
      </c>
      <c r="C41" s="212">
        <f t="shared" si="2"/>
        <v>0</v>
      </c>
      <c r="D41" s="219"/>
      <c r="E41" s="220"/>
      <c r="F41" s="220"/>
      <c r="G41" s="221"/>
      <c r="H41" s="217">
        <v>43.1</v>
      </c>
      <c r="I41" s="217">
        <f t="shared" si="3"/>
        <v>0</v>
      </c>
      <c r="J41" s="218"/>
    </row>
    <row r="42" spans="1:10" ht="15.75" thickBot="1">
      <c r="A42" s="222" t="s">
        <v>1745</v>
      </c>
      <c r="B42" s="223" t="s">
        <v>94</v>
      </c>
      <c r="C42" s="212">
        <f t="shared" si="2"/>
        <v>0</v>
      </c>
      <c r="D42" s="219"/>
      <c r="E42" s="220"/>
      <c r="F42" s="220"/>
      <c r="G42" s="221"/>
      <c r="H42" s="139">
        <v>200</v>
      </c>
      <c r="I42" s="224">
        <f>C42*H42</f>
        <v>0</v>
      </c>
      <c r="J42" s="203" t="s">
        <v>1719</v>
      </c>
    </row>
    <row r="43" spans="1:10" ht="15.75" thickBot="1">
      <c r="A43" s="232"/>
      <c r="B43" s="232"/>
      <c r="C43" s="212"/>
      <c r="D43" s="226"/>
      <c r="E43" s="227"/>
      <c r="F43" s="227"/>
      <c r="G43" s="228"/>
      <c r="H43" s="139"/>
      <c r="J43" s="229">
        <f>I27+I28+I29+I30+I31+I32+I33+I34+I35+I36+I37+I38+I39+I40+I41+I42</f>
        <v>0</v>
      </c>
    </row>
    <row r="44" spans="1:10">
      <c r="A44" s="204" t="s">
        <v>1746</v>
      </c>
      <c r="B44" s="205"/>
      <c r="C44" s="206"/>
      <c r="D44" s="239"/>
      <c r="E44" s="239"/>
      <c r="F44" s="239"/>
      <c r="G44" s="239"/>
      <c r="H44" s="139"/>
    </row>
    <row r="45" spans="1:10">
      <c r="A45" s="233" t="s">
        <v>1773</v>
      </c>
      <c r="B45" s="234" t="s">
        <v>778</v>
      </c>
      <c r="C45" s="212">
        <f t="shared" ref="C45:C62" si="4">(D45+E45+F45+G45)*4</f>
        <v>0</v>
      </c>
      <c r="D45" s="220"/>
      <c r="E45" s="220"/>
      <c r="F45" s="220"/>
      <c r="G45" s="216"/>
      <c r="H45" s="139">
        <v>39</v>
      </c>
      <c r="I45" s="231">
        <f>C45*H45</f>
        <v>0</v>
      </c>
    </row>
    <row r="46" spans="1:10">
      <c r="A46" s="233" t="s">
        <v>1747</v>
      </c>
      <c r="B46" s="234" t="s">
        <v>778</v>
      </c>
      <c r="C46" s="212">
        <f t="shared" si="4"/>
        <v>0</v>
      </c>
      <c r="D46" s="219"/>
      <c r="E46" s="220"/>
      <c r="F46" s="220"/>
      <c r="G46" s="221"/>
      <c r="H46" s="139">
        <v>68</v>
      </c>
      <c r="I46" s="217">
        <f t="shared" ref="I46:I60" si="5">C46*H46</f>
        <v>0</v>
      </c>
    </row>
    <row r="47" spans="1:10">
      <c r="A47" s="233" t="s">
        <v>1763</v>
      </c>
      <c r="B47" s="234" t="s">
        <v>1722</v>
      </c>
      <c r="C47" s="212">
        <f t="shared" si="4"/>
        <v>0</v>
      </c>
      <c r="D47" s="219"/>
      <c r="E47" s="220"/>
      <c r="F47" s="220"/>
      <c r="G47" s="221"/>
      <c r="H47" s="139">
        <v>33.299999999999997</v>
      </c>
      <c r="I47" s="217">
        <f t="shared" si="5"/>
        <v>0</v>
      </c>
    </row>
    <row r="48" spans="1:10">
      <c r="A48" s="233" t="s">
        <v>1764</v>
      </c>
      <c r="B48" s="234" t="s">
        <v>1722</v>
      </c>
      <c r="C48" s="212">
        <f t="shared" si="4"/>
        <v>0</v>
      </c>
      <c r="D48" s="219"/>
      <c r="E48" s="220"/>
      <c r="F48" s="220"/>
      <c r="G48" s="221"/>
      <c r="H48" s="139">
        <v>8.9</v>
      </c>
      <c r="I48" s="217">
        <f t="shared" si="5"/>
        <v>0</v>
      </c>
    </row>
    <row r="49" spans="1:10">
      <c r="A49" s="233" t="s">
        <v>1765</v>
      </c>
      <c r="B49" s="234" t="s">
        <v>1722</v>
      </c>
      <c r="C49" s="212">
        <f t="shared" si="4"/>
        <v>0</v>
      </c>
      <c r="D49" s="219"/>
      <c r="E49" s="220"/>
      <c r="F49" s="220"/>
      <c r="G49" s="221"/>
      <c r="H49" s="139">
        <v>11</v>
      </c>
      <c r="I49" s="217">
        <f t="shared" si="5"/>
        <v>0</v>
      </c>
    </row>
    <row r="50" spans="1:10">
      <c r="A50" s="233" t="s">
        <v>1774</v>
      </c>
      <c r="B50" s="234" t="s">
        <v>1722</v>
      </c>
      <c r="C50" s="212">
        <f t="shared" si="4"/>
        <v>0</v>
      </c>
      <c r="D50" s="219"/>
      <c r="E50" s="220"/>
      <c r="F50" s="220"/>
      <c r="G50" s="221"/>
      <c r="H50" s="139">
        <v>10.3</v>
      </c>
      <c r="I50" s="217">
        <f t="shared" si="5"/>
        <v>0</v>
      </c>
    </row>
    <row r="51" spans="1:10">
      <c r="A51" s="233" t="s">
        <v>1748</v>
      </c>
      <c r="B51" s="234" t="s">
        <v>1722</v>
      </c>
      <c r="C51" s="212">
        <f t="shared" si="4"/>
        <v>0</v>
      </c>
      <c r="D51" s="219"/>
      <c r="E51" s="220"/>
      <c r="F51" s="220"/>
      <c r="G51" s="221"/>
      <c r="H51" s="139">
        <v>44.5</v>
      </c>
      <c r="I51" s="217">
        <f t="shared" si="5"/>
        <v>0</v>
      </c>
    </row>
    <row r="52" spans="1:10">
      <c r="A52" s="233" t="s">
        <v>1775</v>
      </c>
      <c r="B52" s="234" t="s">
        <v>1722</v>
      </c>
      <c r="C52" s="212">
        <f t="shared" si="4"/>
        <v>0</v>
      </c>
      <c r="D52" s="219"/>
      <c r="E52" s="220"/>
      <c r="F52" s="220"/>
      <c r="G52" s="221"/>
      <c r="H52" s="139">
        <v>15.5</v>
      </c>
      <c r="I52" s="217">
        <f t="shared" si="5"/>
        <v>0</v>
      </c>
    </row>
    <row r="53" spans="1:10">
      <c r="A53" s="233" t="s">
        <v>1749</v>
      </c>
      <c r="B53" s="234" t="s">
        <v>1722</v>
      </c>
      <c r="C53" s="212">
        <f t="shared" si="4"/>
        <v>0</v>
      </c>
      <c r="D53" s="219"/>
      <c r="E53" s="220"/>
      <c r="F53" s="220"/>
      <c r="G53" s="221"/>
      <c r="H53" s="139">
        <v>64</v>
      </c>
      <c r="I53" s="217">
        <f t="shared" si="5"/>
        <v>0</v>
      </c>
    </row>
    <row r="54" spans="1:10">
      <c r="A54" s="233" t="s">
        <v>1788</v>
      </c>
      <c r="B54" s="234" t="s">
        <v>1722</v>
      </c>
      <c r="C54" s="212">
        <f t="shared" si="4"/>
        <v>0</v>
      </c>
      <c r="D54" s="219"/>
      <c r="E54" s="220"/>
      <c r="F54" s="220"/>
      <c r="G54" s="221"/>
      <c r="H54" s="139">
        <v>62.7</v>
      </c>
      <c r="I54" s="217">
        <f>C54*H54</f>
        <v>0</v>
      </c>
    </row>
    <row r="55" spans="1:10">
      <c r="A55" s="233" t="s">
        <v>1766</v>
      </c>
      <c r="B55" s="234" t="s">
        <v>1722</v>
      </c>
      <c r="C55" s="212">
        <f t="shared" si="4"/>
        <v>0</v>
      </c>
      <c r="D55" s="219"/>
      <c r="E55" s="220"/>
      <c r="F55" s="220"/>
      <c r="G55" s="221"/>
      <c r="H55" s="139">
        <v>219</v>
      </c>
      <c r="I55" s="217">
        <f t="shared" si="5"/>
        <v>0</v>
      </c>
    </row>
    <row r="56" spans="1:10">
      <c r="A56" s="233" t="s">
        <v>1776</v>
      </c>
      <c r="B56" s="234" t="s">
        <v>1722</v>
      </c>
      <c r="C56" s="212">
        <f t="shared" si="4"/>
        <v>0</v>
      </c>
      <c r="D56" s="219"/>
      <c r="E56" s="220"/>
      <c r="F56" s="220"/>
      <c r="G56" s="221"/>
      <c r="H56" s="139">
        <v>150</v>
      </c>
      <c r="I56" s="217">
        <f>C56*H56</f>
        <v>0</v>
      </c>
    </row>
    <row r="57" spans="1:10">
      <c r="A57" s="233" t="s">
        <v>1750</v>
      </c>
      <c r="B57" s="234" t="s">
        <v>1722</v>
      </c>
      <c r="C57" s="212">
        <f t="shared" si="4"/>
        <v>0</v>
      </c>
      <c r="D57" s="219"/>
      <c r="E57" s="220"/>
      <c r="F57" s="220"/>
      <c r="G57" s="221"/>
      <c r="H57" s="139">
        <v>324</v>
      </c>
      <c r="I57" s="217">
        <f t="shared" si="5"/>
        <v>0</v>
      </c>
    </row>
    <row r="58" spans="1:10">
      <c r="A58" s="233" t="s">
        <v>1767</v>
      </c>
      <c r="B58" s="234" t="s">
        <v>1722</v>
      </c>
      <c r="C58" s="212">
        <f t="shared" si="4"/>
        <v>0</v>
      </c>
      <c r="D58" s="219"/>
      <c r="E58" s="220"/>
      <c r="F58" s="220"/>
      <c r="G58" s="221"/>
      <c r="H58" s="139">
        <v>40</v>
      </c>
      <c r="I58" s="217">
        <f t="shared" si="5"/>
        <v>0</v>
      </c>
    </row>
    <row r="59" spans="1:10">
      <c r="A59" s="233" t="s">
        <v>1768</v>
      </c>
      <c r="B59" s="234" t="s">
        <v>1722</v>
      </c>
      <c r="C59" s="212">
        <f t="shared" si="4"/>
        <v>0</v>
      </c>
      <c r="D59" s="219"/>
      <c r="E59" s="220"/>
      <c r="F59" s="220"/>
      <c r="G59" s="221"/>
      <c r="H59" s="139">
        <v>1144</v>
      </c>
      <c r="I59" s="217">
        <f t="shared" si="5"/>
        <v>0</v>
      </c>
    </row>
    <row r="60" spans="1:10">
      <c r="A60" s="233" t="s">
        <v>1751</v>
      </c>
      <c r="B60" s="234" t="s">
        <v>1722</v>
      </c>
      <c r="C60" s="212">
        <f t="shared" si="4"/>
        <v>0</v>
      </c>
      <c r="D60" s="219"/>
      <c r="E60" s="220"/>
      <c r="F60" s="220"/>
      <c r="G60" s="221"/>
      <c r="H60" s="139">
        <v>158</v>
      </c>
      <c r="I60" s="217">
        <f t="shared" si="5"/>
        <v>0</v>
      </c>
    </row>
    <row r="61" spans="1:10">
      <c r="A61" s="251" t="s">
        <v>1808</v>
      </c>
      <c r="B61" s="234" t="s">
        <v>1722</v>
      </c>
      <c r="C61" s="212">
        <v>4</v>
      </c>
      <c r="D61" s="219"/>
      <c r="E61" s="220"/>
      <c r="F61" s="220"/>
      <c r="G61" s="221"/>
      <c r="H61" s="139">
        <v>1565</v>
      </c>
      <c r="I61" s="217">
        <f>C61*H61</f>
        <v>6260</v>
      </c>
      <c r="J61" s="218"/>
    </row>
    <row r="62" spans="1:10">
      <c r="A62" s="233" t="s">
        <v>1752</v>
      </c>
      <c r="B62" s="234" t="s">
        <v>1722</v>
      </c>
      <c r="C62" s="212">
        <f t="shared" si="4"/>
        <v>0</v>
      </c>
      <c r="D62" s="219"/>
      <c r="E62" s="220"/>
      <c r="F62" s="220"/>
      <c r="G62" s="221"/>
      <c r="H62" s="139">
        <v>91</v>
      </c>
      <c r="I62" s="224">
        <f>C62*H62</f>
        <v>0</v>
      </c>
      <c r="J62" s="241" t="s">
        <v>1719</v>
      </c>
    </row>
    <row r="63" spans="1:10" ht="15.75" thickBot="1">
      <c r="A63" s="236"/>
      <c r="B63" s="235"/>
      <c r="C63" s="233"/>
      <c r="D63" s="226"/>
      <c r="E63" s="227"/>
      <c r="F63" s="227"/>
      <c r="G63" s="228"/>
      <c r="H63" s="139"/>
      <c r="J63" s="229">
        <f>I45+I46+I47+I48+I49+I50+I51+I52+I53+I54+I55+I56+I57+I58+I59+I60+I61+I62</f>
        <v>6260</v>
      </c>
    </row>
    <row r="64" spans="1:10">
      <c r="A64" s="204" t="s">
        <v>624</v>
      </c>
      <c r="B64" s="237"/>
      <c r="C64" s="206"/>
      <c r="D64" s="238"/>
      <c r="E64" s="238"/>
      <c r="F64" s="238"/>
      <c r="G64" s="239"/>
      <c r="H64" s="139"/>
      <c r="I64" s="218"/>
      <c r="J64" s="230"/>
    </row>
    <row r="65" spans="1:10">
      <c r="A65" s="212" t="s">
        <v>1782</v>
      </c>
      <c r="B65" s="213" t="s">
        <v>1722</v>
      </c>
      <c r="C65" s="212">
        <f t="shared" ref="C65:C80" si="6">(D65+E65+F65+G65)*4</f>
        <v>0</v>
      </c>
      <c r="D65" s="219"/>
      <c r="E65" s="220"/>
      <c r="F65" s="220"/>
      <c r="G65" s="221"/>
      <c r="H65" s="139">
        <v>635</v>
      </c>
      <c r="I65" s="231">
        <f t="shared" ref="I65:I80" si="7">C65*H65</f>
        <v>0</v>
      </c>
      <c r="J65" s="218"/>
    </row>
    <row r="66" spans="1:10">
      <c r="A66" s="212" t="s">
        <v>1783</v>
      </c>
      <c r="B66" s="213" t="s">
        <v>1722</v>
      </c>
      <c r="C66" s="212">
        <f t="shared" si="6"/>
        <v>0</v>
      </c>
      <c r="D66" s="219"/>
      <c r="E66" s="220"/>
      <c r="F66" s="220"/>
      <c r="G66" s="221"/>
      <c r="H66" s="139">
        <v>647</v>
      </c>
      <c r="I66" s="217">
        <f t="shared" si="7"/>
        <v>0</v>
      </c>
      <c r="J66" s="218"/>
    </row>
    <row r="67" spans="1:10">
      <c r="A67" s="212" t="s">
        <v>1784</v>
      </c>
      <c r="B67" s="213" t="s">
        <v>1722</v>
      </c>
      <c r="C67" s="212">
        <f t="shared" si="6"/>
        <v>0</v>
      </c>
      <c r="D67" s="219"/>
      <c r="E67" s="220"/>
      <c r="F67" s="220"/>
      <c r="G67" s="221"/>
      <c r="H67" s="139">
        <v>433</v>
      </c>
      <c r="I67" s="217">
        <f t="shared" si="7"/>
        <v>0</v>
      </c>
      <c r="J67" s="218"/>
    </row>
    <row r="68" spans="1:10">
      <c r="A68" s="212" t="s">
        <v>1753</v>
      </c>
      <c r="B68" s="213" t="s">
        <v>1722</v>
      </c>
      <c r="C68" s="212">
        <f t="shared" si="6"/>
        <v>0</v>
      </c>
      <c r="D68" s="219"/>
      <c r="E68" s="220"/>
      <c r="F68" s="220"/>
      <c r="G68" s="221"/>
      <c r="H68" s="139">
        <v>58</v>
      </c>
      <c r="I68" s="217">
        <f t="shared" si="7"/>
        <v>0</v>
      </c>
      <c r="J68" s="218"/>
    </row>
    <row r="69" spans="1:10">
      <c r="A69" s="212" t="s">
        <v>1754</v>
      </c>
      <c r="B69" s="213" t="s">
        <v>1722</v>
      </c>
      <c r="C69" s="212">
        <f t="shared" si="6"/>
        <v>0</v>
      </c>
      <c r="D69" s="219"/>
      <c r="E69" s="220"/>
      <c r="F69" s="220"/>
      <c r="G69" s="221"/>
      <c r="H69" s="139">
        <v>889</v>
      </c>
      <c r="I69" s="217">
        <f t="shared" si="7"/>
        <v>0</v>
      </c>
      <c r="J69" s="218"/>
    </row>
    <row r="70" spans="1:10">
      <c r="A70" s="212" t="s">
        <v>1785</v>
      </c>
      <c r="B70" s="213" t="s">
        <v>1722</v>
      </c>
      <c r="C70" s="212">
        <f t="shared" si="6"/>
        <v>0</v>
      </c>
      <c r="D70" s="219"/>
      <c r="E70" s="220"/>
      <c r="F70" s="220"/>
      <c r="G70" s="221"/>
      <c r="H70" s="139">
        <v>311</v>
      </c>
      <c r="I70" s="217">
        <f t="shared" si="7"/>
        <v>0</v>
      </c>
      <c r="J70" s="218"/>
    </row>
    <row r="71" spans="1:10">
      <c r="A71" s="212" t="s">
        <v>1777</v>
      </c>
      <c r="B71" s="213" t="s">
        <v>1722</v>
      </c>
      <c r="C71" s="212">
        <f t="shared" si="6"/>
        <v>0</v>
      </c>
      <c r="D71" s="219"/>
      <c r="E71" s="220"/>
      <c r="F71" s="220"/>
      <c r="G71" s="221"/>
      <c r="H71" s="139">
        <v>410</v>
      </c>
      <c r="I71" s="217">
        <f t="shared" si="7"/>
        <v>0</v>
      </c>
      <c r="J71" s="218"/>
    </row>
    <row r="72" spans="1:10">
      <c r="A72" s="212" t="s">
        <v>1786</v>
      </c>
      <c r="B72" s="213" t="s">
        <v>1722</v>
      </c>
      <c r="C72" s="212">
        <f t="shared" si="6"/>
        <v>0</v>
      </c>
      <c r="D72" s="219"/>
      <c r="E72" s="220"/>
      <c r="F72" s="220"/>
      <c r="G72" s="221"/>
      <c r="H72" s="139">
        <v>89.9</v>
      </c>
      <c r="I72" s="217">
        <f t="shared" si="7"/>
        <v>0</v>
      </c>
      <c r="J72" s="218"/>
    </row>
    <row r="73" spans="1:10">
      <c r="A73" s="212" t="s">
        <v>1809</v>
      </c>
      <c r="B73" s="213" t="s">
        <v>521</v>
      </c>
      <c r="C73" s="212">
        <f>(D73+E73+F73+G73)*4</f>
        <v>0</v>
      </c>
      <c r="D73" s="219"/>
      <c r="E73" s="220"/>
      <c r="F73" s="220"/>
      <c r="G73" s="221"/>
      <c r="H73" s="139">
        <f>1820+300</f>
        <v>2120</v>
      </c>
      <c r="I73" s="217">
        <f t="shared" si="7"/>
        <v>0</v>
      </c>
      <c r="J73" s="218"/>
    </row>
    <row r="74" spans="1:10">
      <c r="A74" s="212" t="s">
        <v>1778</v>
      </c>
      <c r="B74" s="213" t="s">
        <v>1722</v>
      </c>
      <c r="C74" s="212">
        <f t="shared" si="6"/>
        <v>0</v>
      </c>
      <c r="D74" s="219"/>
      <c r="E74" s="220"/>
      <c r="F74" s="220"/>
      <c r="G74" s="221"/>
      <c r="H74" s="139">
        <v>535</v>
      </c>
      <c r="I74" s="217">
        <f t="shared" si="7"/>
        <v>0</v>
      </c>
      <c r="J74" s="218"/>
    </row>
    <row r="75" spans="1:10">
      <c r="A75" s="212" t="s">
        <v>1812</v>
      </c>
      <c r="B75" s="213" t="s">
        <v>1722</v>
      </c>
      <c r="C75" s="212">
        <f>(D75+E75+F75+G75)*4</f>
        <v>0</v>
      </c>
      <c r="D75" s="219"/>
      <c r="E75" s="220"/>
      <c r="F75" s="220"/>
      <c r="G75" s="221"/>
      <c r="H75" s="139">
        <v>1077</v>
      </c>
      <c r="I75" s="217">
        <f t="shared" si="7"/>
        <v>0</v>
      </c>
      <c r="J75" s="218"/>
    </row>
    <row r="76" spans="1:10">
      <c r="A76" s="212" t="s">
        <v>1779</v>
      </c>
      <c r="B76" s="213" t="s">
        <v>1722</v>
      </c>
      <c r="C76" s="212">
        <f t="shared" si="6"/>
        <v>0</v>
      </c>
      <c r="D76" s="219"/>
      <c r="E76" s="220"/>
      <c r="F76" s="220"/>
      <c r="G76" s="221"/>
      <c r="H76" s="139">
        <v>839</v>
      </c>
      <c r="I76" s="217">
        <f t="shared" si="7"/>
        <v>0</v>
      </c>
      <c r="J76" s="218"/>
    </row>
    <row r="77" spans="1:10">
      <c r="A77" s="212" t="s">
        <v>1780</v>
      </c>
      <c r="B77" s="213" t="s">
        <v>1722</v>
      </c>
      <c r="C77" s="212">
        <f t="shared" si="6"/>
        <v>0</v>
      </c>
      <c r="D77" s="219"/>
      <c r="E77" s="220"/>
      <c r="F77" s="220"/>
      <c r="G77" s="221"/>
      <c r="H77" s="139">
        <v>910</v>
      </c>
      <c r="I77" s="217">
        <f t="shared" si="7"/>
        <v>0</v>
      </c>
      <c r="J77" s="218"/>
    </row>
    <row r="78" spans="1:10">
      <c r="A78" s="212" t="s">
        <v>1781</v>
      </c>
      <c r="B78" s="213" t="s">
        <v>1722</v>
      </c>
      <c r="C78" s="212">
        <f t="shared" si="6"/>
        <v>0</v>
      </c>
      <c r="D78" s="219"/>
      <c r="E78" s="220"/>
      <c r="F78" s="220"/>
      <c r="G78" s="221"/>
      <c r="H78" s="139">
        <v>620</v>
      </c>
      <c r="I78" s="217">
        <f t="shared" si="7"/>
        <v>0</v>
      </c>
      <c r="J78" s="218"/>
    </row>
    <row r="79" spans="1:10">
      <c r="A79" s="212" t="s">
        <v>1755</v>
      </c>
      <c r="B79" s="213" t="s">
        <v>1722</v>
      </c>
      <c r="C79" s="212">
        <f t="shared" si="6"/>
        <v>0</v>
      </c>
      <c r="D79" s="219"/>
      <c r="E79" s="220"/>
      <c r="F79" s="220"/>
      <c r="G79" s="221"/>
      <c r="H79" s="139">
        <v>90</v>
      </c>
      <c r="I79" s="217">
        <f t="shared" si="7"/>
        <v>0</v>
      </c>
      <c r="J79" s="218"/>
    </row>
    <row r="80" spans="1:10" ht="15.75" thickBot="1">
      <c r="A80" s="222" t="s">
        <v>1813</v>
      </c>
      <c r="B80" s="223" t="s">
        <v>94</v>
      </c>
      <c r="C80" s="212">
        <f t="shared" si="6"/>
        <v>0</v>
      </c>
      <c r="D80" s="226"/>
      <c r="E80" s="227"/>
      <c r="F80" s="227"/>
      <c r="G80" s="228"/>
      <c r="H80" s="139">
        <v>100</v>
      </c>
      <c r="I80" s="224">
        <f t="shared" si="7"/>
        <v>0</v>
      </c>
      <c r="J80" s="203" t="s">
        <v>1719</v>
      </c>
    </row>
    <row r="81" spans="1:10" ht="15.75" thickBot="1">
      <c r="A81" s="71"/>
      <c r="B81" s="71"/>
      <c r="C81" s="71"/>
      <c r="D81" s="71"/>
      <c r="E81" s="71"/>
      <c r="F81" s="71"/>
      <c r="G81" s="71"/>
      <c r="H81" s="71"/>
      <c r="I81" s="71"/>
      <c r="J81" s="229">
        <f>I65+I66+I67+I68+I69+I70+I71+I72+I73+I74+I75+I76+I77+I78+I79+I80</f>
        <v>0</v>
      </c>
    </row>
    <row r="82" spans="1:10">
      <c r="A82" s="204" t="s">
        <v>1789</v>
      </c>
      <c r="B82" s="205"/>
      <c r="C82" s="206"/>
      <c r="D82" s="238"/>
      <c r="E82" s="238"/>
      <c r="F82" s="238"/>
      <c r="G82" s="239"/>
    </row>
    <row r="83" spans="1:10">
      <c r="A83" s="212" t="s">
        <v>1790</v>
      </c>
      <c r="B83" s="213" t="s">
        <v>778</v>
      </c>
      <c r="C83" s="212">
        <f>(D83+E83+F83+G83)*4</f>
        <v>0</v>
      </c>
      <c r="D83" s="219"/>
      <c r="E83" s="220"/>
      <c r="F83" s="220"/>
      <c r="G83" s="221"/>
      <c r="H83" s="139">
        <f>163/6</f>
        <v>27.166666666666668</v>
      </c>
      <c r="I83" s="231">
        <f>C83*H83</f>
        <v>0</v>
      </c>
      <c r="J83" s="218"/>
    </row>
    <row r="84" spans="1:10">
      <c r="A84" s="212" t="s">
        <v>1791</v>
      </c>
      <c r="B84" s="213" t="s">
        <v>778</v>
      </c>
      <c r="C84" s="212">
        <f t="shared" ref="C84:C101" si="8">(D84+E84+F84+G84)*4</f>
        <v>0</v>
      </c>
      <c r="D84" s="219"/>
      <c r="E84" s="220"/>
      <c r="F84" s="220"/>
      <c r="G84" s="221"/>
      <c r="H84" s="139">
        <f>205/6</f>
        <v>34.166666666666664</v>
      </c>
      <c r="I84" s="217">
        <f t="shared" ref="I84:I101" si="9">C84*H84</f>
        <v>0</v>
      </c>
      <c r="J84" s="218"/>
    </row>
    <row r="85" spans="1:10">
      <c r="A85" s="212" t="s">
        <v>1792</v>
      </c>
      <c r="B85" s="213" t="s">
        <v>778</v>
      </c>
      <c r="C85" s="212">
        <f t="shared" si="8"/>
        <v>0</v>
      </c>
      <c r="D85" s="219"/>
      <c r="E85" s="220"/>
      <c r="F85" s="220"/>
      <c r="G85" s="221"/>
      <c r="H85" s="139">
        <f>305/6</f>
        <v>50.833333333333336</v>
      </c>
      <c r="I85" s="217">
        <f t="shared" si="9"/>
        <v>0</v>
      </c>
      <c r="J85" s="218"/>
    </row>
    <row r="86" spans="1:10">
      <c r="A86" s="242" t="s">
        <v>1793</v>
      </c>
      <c r="B86" s="243" t="s">
        <v>1722</v>
      </c>
      <c r="C86" s="212">
        <f t="shared" si="8"/>
        <v>0</v>
      </c>
      <c r="D86" s="219"/>
      <c r="E86" s="220"/>
      <c r="F86" s="220"/>
      <c r="G86" s="221"/>
      <c r="H86" s="139">
        <v>10.4</v>
      </c>
      <c r="I86" s="217">
        <f t="shared" si="9"/>
        <v>0</v>
      </c>
      <c r="J86" s="218"/>
    </row>
    <row r="87" spans="1:10">
      <c r="A87" s="212" t="s">
        <v>1794</v>
      </c>
      <c r="B87" s="213" t="s">
        <v>1722</v>
      </c>
      <c r="C87" s="212">
        <f t="shared" si="8"/>
        <v>0</v>
      </c>
      <c r="D87" s="219"/>
      <c r="E87" s="220"/>
      <c r="F87" s="220"/>
      <c r="G87" s="221"/>
      <c r="H87" s="139">
        <v>13.8</v>
      </c>
      <c r="I87" s="217">
        <f t="shared" si="9"/>
        <v>0</v>
      </c>
      <c r="J87" s="218"/>
    </row>
    <row r="88" spans="1:10">
      <c r="A88" s="212" t="s">
        <v>1795</v>
      </c>
      <c r="B88" s="213" t="s">
        <v>1722</v>
      </c>
      <c r="C88" s="212">
        <f t="shared" si="8"/>
        <v>0</v>
      </c>
      <c r="D88" s="219"/>
      <c r="E88" s="220"/>
      <c r="F88" s="220"/>
      <c r="G88" s="221"/>
      <c r="H88" s="139">
        <v>23.7</v>
      </c>
      <c r="I88" s="217">
        <f t="shared" si="9"/>
        <v>0</v>
      </c>
      <c r="J88" s="218"/>
    </row>
    <row r="89" spans="1:10">
      <c r="A89" s="242" t="s">
        <v>1796</v>
      </c>
      <c r="B89" s="243" t="s">
        <v>1722</v>
      </c>
      <c r="C89" s="212">
        <f t="shared" si="8"/>
        <v>0</v>
      </c>
      <c r="D89" s="219"/>
      <c r="E89" s="220"/>
      <c r="F89" s="220"/>
      <c r="G89" s="221"/>
      <c r="H89" s="139">
        <v>10.5</v>
      </c>
      <c r="I89" s="217">
        <f t="shared" si="9"/>
        <v>0</v>
      </c>
      <c r="J89" s="218"/>
    </row>
    <row r="90" spans="1:10">
      <c r="A90" s="212" t="s">
        <v>1797</v>
      </c>
      <c r="B90" s="213" t="s">
        <v>1722</v>
      </c>
      <c r="C90" s="212">
        <f t="shared" si="8"/>
        <v>0</v>
      </c>
      <c r="D90" s="219"/>
      <c r="E90" s="220"/>
      <c r="F90" s="220"/>
      <c r="G90" s="221"/>
      <c r="H90" s="139">
        <v>11.3</v>
      </c>
      <c r="I90" s="217">
        <f t="shared" si="9"/>
        <v>0</v>
      </c>
      <c r="J90" s="218"/>
    </row>
    <row r="91" spans="1:10">
      <c r="A91" s="212" t="s">
        <v>1798</v>
      </c>
      <c r="B91" s="213" t="s">
        <v>1722</v>
      </c>
      <c r="C91" s="212">
        <f t="shared" si="8"/>
        <v>0</v>
      </c>
      <c r="D91" s="219"/>
      <c r="E91" s="220"/>
      <c r="F91" s="220"/>
      <c r="G91" s="221"/>
      <c r="H91" s="139">
        <v>17.100000000000001</v>
      </c>
      <c r="I91" s="217">
        <f t="shared" si="9"/>
        <v>0</v>
      </c>
      <c r="J91" s="218"/>
    </row>
    <row r="92" spans="1:10">
      <c r="A92" s="242" t="s">
        <v>1799</v>
      </c>
      <c r="B92" s="243" t="s">
        <v>1722</v>
      </c>
      <c r="C92" s="212">
        <f t="shared" si="8"/>
        <v>0</v>
      </c>
      <c r="D92" s="219"/>
      <c r="E92" s="220"/>
      <c r="F92" s="220"/>
      <c r="G92" s="221"/>
      <c r="H92" s="139">
        <v>13.6</v>
      </c>
      <c r="I92" s="217">
        <f t="shared" si="9"/>
        <v>0</v>
      </c>
      <c r="J92" s="218"/>
    </row>
    <row r="93" spans="1:10">
      <c r="A93" s="212" t="s">
        <v>1800</v>
      </c>
      <c r="B93" s="213" t="s">
        <v>1722</v>
      </c>
      <c r="C93" s="212">
        <f t="shared" si="8"/>
        <v>0</v>
      </c>
      <c r="D93" s="219"/>
      <c r="E93" s="220"/>
      <c r="F93" s="220"/>
      <c r="G93" s="221"/>
      <c r="H93" s="139">
        <v>19.100000000000001</v>
      </c>
      <c r="I93" s="217">
        <f t="shared" si="9"/>
        <v>0</v>
      </c>
      <c r="J93" s="218"/>
    </row>
    <row r="94" spans="1:10">
      <c r="A94" s="212" t="s">
        <v>1801</v>
      </c>
      <c r="B94" s="213" t="s">
        <v>1722</v>
      </c>
      <c r="C94" s="212">
        <f t="shared" si="8"/>
        <v>0</v>
      </c>
      <c r="D94" s="219"/>
      <c r="E94" s="220"/>
      <c r="F94" s="220"/>
      <c r="G94" s="221"/>
      <c r="H94" s="139">
        <v>29.9</v>
      </c>
      <c r="I94" s="217">
        <f t="shared" si="9"/>
        <v>0</v>
      </c>
      <c r="J94" s="218"/>
    </row>
    <row r="95" spans="1:10">
      <c r="A95" s="242" t="s">
        <v>1802</v>
      </c>
      <c r="B95" s="243" t="s">
        <v>1722</v>
      </c>
      <c r="C95" s="212">
        <f t="shared" si="8"/>
        <v>0</v>
      </c>
      <c r="D95" s="219"/>
      <c r="E95" s="220"/>
      <c r="F95" s="220"/>
      <c r="G95" s="221"/>
      <c r="H95" s="139">
        <v>189</v>
      </c>
      <c r="I95" s="217">
        <f t="shared" si="9"/>
        <v>0</v>
      </c>
      <c r="J95" s="218"/>
    </row>
    <row r="96" spans="1:10">
      <c r="A96" s="212" t="s">
        <v>1803</v>
      </c>
      <c r="B96" s="213" t="s">
        <v>1722</v>
      </c>
      <c r="C96" s="212">
        <f t="shared" si="8"/>
        <v>0</v>
      </c>
      <c r="D96" s="219"/>
      <c r="E96" s="220"/>
      <c r="F96" s="220"/>
      <c r="G96" s="221"/>
      <c r="H96" s="139">
        <v>213</v>
      </c>
      <c r="I96" s="217">
        <f t="shared" si="9"/>
        <v>0</v>
      </c>
    </row>
    <row r="97" spans="1:10">
      <c r="A97" s="212" t="s">
        <v>1804</v>
      </c>
      <c r="B97" s="213" t="s">
        <v>1722</v>
      </c>
      <c r="C97" s="212">
        <f t="shared" si="8"/>
        <v>0</v>
      </c>
      <c r="D97" s="219"/>
      <c r="E97" s="220"/>
      <c r="F97" s="220"/>
      <c r="G97" s="221"/>
      <c r="H97" s="139">
        <v>272</v>
      </c>
      <c r="I97" s="217">
        <f>C97*H97</f>
        <v>0</v>
      </c>
    </row>
    <row r="98" spans="1:10">
      <c r="A98" s="242" t="s">
        <v>1805</v>
      </c>
      <c r="B98" s="243" t="s">
        <v>1722</v>
      </c>
      <c r="C98" s="212">
        <f t="shared" si="8"/>
        <v>0</v>
      </c>
      <c r="D98" s="219"/>
      <c r="E98" s="220"/>
      <c r="F98" s="220"/>
      <c r="G98" s="221"/>
      <c r="H98" s="139">
        <v>255</v>
      </c>
      <c r="I98" s="217">
        <f t="shared" si="9"/>
        <v>0</v>
      </c>
      <c r="J98" s="71"/>
    </row>
    <row r="99" spans="1:10">
      <c r="A99" s="212" t="s">
        <v>1806</v>
      </c>
      <c r="B99" s="213" t="s">
        <v>1722</v>
      </c>
      <c r="C99" s="212">
        <f t="shared" si="8"/>
        <v>0</v>
      </c>
      <c r="D99" s="219"/>
      <c r="E99" s="220"/>
      <c r="F99" s="220"/>
      <c r="G99" s="221"/>
      <c r="H99" s="139">
        <v>46</v>
      </c>
      <c r="I99" s="217">
        <f t="shared" si="9"/>
        <v>0</v>
      </c>
      <c r="J99" s="71"/>
    </row>
    <row r="100" spans="1:10">
      <c r="A100" s="212" t="s">
        <v>93</v>
      </c>
      <c r="B100" s="213" t="s">
        <v>1722</v>
      </c>
      <c r="C100" s="212">
        <f t="shared" si="8"/>
        <v>0</v>
      </c>
      <c r="D100" s="219"/>
      <c r="E100" s="220"/>
      <c r="F100" s="220"/>
      <c r="G100" s="221"/>
      <c r="H100" s="139">
        <v>100</v>
      </c>
      <c r="I100" s="217">
        <f t="shared" si="9"/>
        <v>0</v>
      </c>
      <c r="J100" s="71"/>
    </row>
    <row r="101" spans="1:10" ht="15.75" thickBot="1">
      <c r="A101" s="222" t="s">
        <v>1807</v>
      </c>
      <c r="B101" s="223" t="s">
        <v>1722</v>
      </c>
      <c r="C101" s="212">
        <f t="shared" si="8"/>
        <v>0</v>
      </c>
      <c r="D101" s="226"/>
      <c r="E101" s="227"/>
      <c r="F101" s="227"/>
      <c r="G101" s="228"/>
      <c r="H101" s="139">
        <v>470</v>
      </c>
      <c r="I101" s="217">
        <f t="shared" si="9"/>
        <v>0</v>
      </c>
      <c r="J101" s="203" t="s">
        <v>1719</v>
      </c>
    </row>
    <row r="102" spans="1:10">
      <c r="D102" s="71"/>
      <c r="E102" s="71"/>
      <c r="F102" s="71"/>
      <c r="G102" s="71"/>
      <c r="H102" s="71"/>
      <c r="I102" s="71"/>
      <c r="J102" s="229">
        <f>I83+I84+I85+I86+I87+I88+I89+I90+I91+I92+I93+I94+I95+I96+I97+I98+I99+I100+I101</f>
        <v>0</v>
      </c>
    </row>
    <row r="103" spans="1:10">
      <c r="D103" s="71"/>
      <c r="E103" s="71"/>
      <c r="F103" s="71"/>
      <c r="G103" s="71"/>
      <c r="H103" s="71"/>
      <c r="I103" s="71"/>
      <c r="J103" s="71"/>
    </row>
    <row r="104" spans="1:10">
      <c r="D104" s="71"/>
      <c r="E104" s="71"/>
      <c r="F104" s="71"/>
      <c r="G104" s="71"/>
      <c r="H104" s="71"/>
      <c r="I104" s="71"/>
      <c r="J104" s="71"/>
    </row>
    <row r="105" spans="1:10">
      <c r="D105" s="71"/>
      <c r="E105" s="71"/>
      <c r="F105" s="71"/>
      <c r="G105" s="71"/>
      <c r="H105" s="71"/>
      <c r="I105" s="71"/>
      <c r="J105" s="71"/>
    </row>
    <row r="106" spans="1:10">
      <c r="D106" s="71"/>
      <c r="E106" s="71"/>
      <c r="F106" s="71"/>
      <c r="G106" s="71"/>
      <c r="H106" s="71"/>
      <c r="I106" s="71"/>
      <c r="J106" s="71"/>
    </row>
  </sheetData>
  <mergeCells count="1">
    <mergeCell ref="D4:G4"/>
  </mergeCell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B4:T91"/>
  <sheetViews>
    <sheetView topLeftCell="A70" zoomScaleNormal="100" workbookViewId="0">
      <selection activeCell="I80" sqref="I80:J80"/>
    </sheetView>
  </sheetViews>
  <sheetFormatPr baseColWidth="10" defaultRowHeight="15"/>
  <cols>
    <col min="1" max="3" width="11.42578125" style="65"/>
    <col min="4" max="4" width="8.7109375" style="112" bestFit="1" customWidth="1"/>
    <col min="5" max="5" width="63.28515625" style="65" customWidth="1"/>
    <col min="6" max="6" width="8.140625" style="5" customWidth="1"/>
    <col min="7" max="7" width="8.85546875" style="113" bestFit="1" customWidth="1"/>
    <col min="8" max="8" width="14.5703125" style="67" customWidth="1"/>
    <col min="9" max="9" width="14.5703125" style="65" customWidth="1"/>
    <col min="10" max="10" width="15.5703125" style="68" bestFit="1" customWidth="1"/>
    <col min="11" max="11" width="11.42578125" style="66"/>
    <col min="12" max="12" width="19.5703125" bestFit="1" customWidth="1"/>
    <col min="13" max="14" width="11.42578125" style="65"/>
    <col min="15" max="15" width="11.42578125" style="69"/>
    <col min="16" max="19" width="11.42578125" style="65"/>
    <col min="20" max="20" width="11.42578125" style="69"/>
    <col min="21" max="16384" width="11.42578125" style="65"/>
  </cols>
  <sheetData>
    <row r="4" spans="2:10">
      <c r="B4" s="65" t="s">
        <v>106</v>
      </c>
      <c r="D4" s="124"/>
      <c r="E4" s="607"/>
      <c r="F4" s="607"/>
      <c r="G4" s="607"/>
      <c r="H4" s="607"/>
      <c r="I4" s="607"/>
      <c r="J4" s="125"/>
    </row>
    <row r="5" spans="2:10">
      <c r="B5" s="65" t="s">
        <v>1248</v>
      </c>
      <c r="D5" s="120"/>
      <c r="E5" s="646" t="str">
        <f>VLOOKUP($B5,DATRUB,4,FALSE)</f>
        <v>MINISTERIO DEL INTERIOR, OBRAS PÚBLICAS Y VIVIENDA PROGRAMA NACIONAL DE INFRAESTRUCTURA UNIVERSITARIA</v>
      </c>
      <c r="F5" s="607"/>
      <c r="G5" s="607"/>
      <c r="H5" s="607"/>
      <c r="I5" s="647"/>
      <c r="J5" s="126"/>
    </row>
    <row r="6" spans="2:10">
      <c r="B6" s="65" t="s">
        <v>1249</v>
      </c>
      <c r="D6" s="120"/>
      <c r="E6" s="648" t="str">
        <f>VLOOKUP($B6,DATRUB,4,FALSE)</f>
        <v>COMITENTE: UNIVERSIDAD NACIONAL DE SAN JUAN</v>
      </c>
      <c r="F6" s="649"/>
      <c r="G6" s="649"/>
      <c r="H6" s="649"/>
      <c r="I6" s="650"/>
      <c r="J6" s="126"/>
    </row>
    <row r="7" spans="2:10">
      <c r="B7" s="65" t="s">
        <v>1247</v>
      </c>
      <c r="D7" s="120"/>
      <c r="E7" s="648" t="str">
        <f>VLOOKUP($B7,DATRUB,4,FALSE)</f>
        <v>LICITACIÓN PÚBLICA NACIONAL N° CU-011/16</v>
      </c>
      <c r="F7" s="649"/>
      <c r="G7" s="649"/>
      <c r="H7" s="649"/>
      <c r="I7" s="650"/>
      <c r="J7" s="126"/>
    </row>
    <row r="8" spans="2:10">
      <c r="B8" s="65" t="s">
        <v>1885</v>
      </c>
      <c r="D8" s="120"/>
      <c r="E8" s="651" t="str">
        <f>VLOOKUP($B8,DATRUB,4,FALSE)</f>
        <v>OBRA: EDIFICIO SEDE JÁCHAL - CONSTRUCCIÓN DE AULAS</v>
      </c>
      <c r="F8" s="652"/>
      <c r="G8" s="652"/>
      <c r="H8" s="652"/>
      <c r="I8" s="653"/>
      <c r="J8" s="126"/>
    </row>
    <row r="9" spans="2:10">
      <c r="B9" s="65" t="s">
        <v>1981</v>
      </c>
      <c r="D9" s="120"/>
      <c r="E9" s="607" t="str">
        <f>VLOOKUP($B9,DATRUB,4,FALSE)</f>
        <v>CÓMPUTO Y PRESUPUESTO</v>
      </c>
      <c r="F9" s="607"/>
      <c r="G9" s="607"/>
      <c r="H9" s="607"/>
      <c r="I9" s="607"/>
      <c r="J9" s="126"/>
    </row>
    <row r="10" spans="2:10">
      <c r="B10" s="65" t="s">
        <v>1251</v>
      </c>
      <c r="D10" s="121"/>
      <c r="E10" s="132"/>
      <c r="F10" s="128"/>
      <c r="G10" s="129"/>
      <c r="H10" s="130"/>
      <c r="I10" s="127"/>
      <c r="J10" s="131"/>
    </row>
    <row r="12" spans="2:10" ht="15.75" thickBot="1">
      <c r="D12" s="114" t="s">
        <v>1528</v>
      </c>
      <c r="E12" s="115" t="s">
        <v>1253</v>
      </c>
      <c r="F12" s="116" t="s">
        <v>1254</v>
      </c>
      <c r="G12" s="117" t="s">
        <v>1250</v>
      </c>
      <c r="H12" s="118" t="s">
        <v>25</v>
      </c>
      <c r="I12" s="115" t="s">
        <v>1529</v>
      </c>
      <c r="J12" s="277" t="s">
        <v>1255</v>
      </c>
    </row>
    <row r="13" spans="2:10" ht="15.75" thickBot="1">
      <c r="B13" s="65" t="s">
        <v>1814</v>
      </c>
      <c r="C13" s="65" t="s">
        <v>1545</v>
      </c>
      <c r="D13" s="257" t="str">
        <f t="shared" ref="D13:D19" si="0">VLOOKUP($B13,DATRUB,3,FALSE)</f>
        <v>RUBRO I:</v>
      </c>
      <c r="E13" s="286" t="str">
        <f t="shared" ref="E13:E44" si="1">VLOOKUP($B13,DATRUB,4,FALSE)</f>
        <v>PRELIMINARES</v>
      </c>
      <c r="F13" s="259">
        <f t="shared" ref="F13:F18" si="2">VLOOKUP($B13,DATRUB,5,FALSE)</f>
        <v>0</v>
      </c>
      <c r="G13" s="260">
        <f t="shared" ref="G13:G18" si="3">VLOOKUP($B13,DATRUB,6,FALSE)</f>
        <v>0</v>
      </c>
      <c r="H13" s="261">
        <f t="shared" ref="H13:H18" si="4">VLOOKUP($C13,DATAP,8,FALSE)</f>
        <v>0</v>
      </c>
      <c r="I13" s="275">
        <f>+H13*G13</f>
        <v>0</v>
      </c>
      <c r="J13" s="278">
        <f t="shared" ref="J13:J18" si="5">+I13</f>
        <v>0</v>
      </c>
    </row>
    <row r="14" spans="2:10" ht="15.75" thickBot="1">
      <c r="B14" s="65" t="s">
        <v>1815</v>
      </c>
      <c r="C14" s="65" t="s">
        <v>1546</v>
      </c>
      <c r="D14" s="257">
        <f t="shared" si="0"/>
        <v>1.1000000000000001</v>
      </c>
      <c r="E14" s="258" t="str">
        <f t="shared" si="1"/>
        <v>Desmalezado, Limpieza, Replanteo y Demoliciones</v>
      </c>
      <c r="F14" s="259" t="str">
        <f t="shared" si="2"/>
        <v>m2</v>
      </c>
      <c r="G14" s="260">
        <f t="shared" si="3"/>
        <v>1036.8</v>
      </c>
      <c r="H14" s="261">
        <f t="shared" si="4"/>
        <v>0</v>
      </c>
      <c r="I14" s="275">
        <f>+H14*G14</f>
        <v>0</v>
      </c>
      <c r="J14" s="278">
        <f t="shared" si="5"/>
        <v>0</v>
      </c>
    </row>
    <row r="15" spans="2:10" ht="15.75" thickBot="1">
      <c r="B15" s="65" t="s">
        <v>1816</v>
      </c>
      <c r="C15" s="65" t="s">
        <v>1547</v>
      </c>
      <c r="D15" s="257">
        <f t="shared" si="0"/>
        <v>1.2</v>
      </c>
      <c r="E15" s="258" t="str">
        <f t="shared" si="1"/>
        <v>Obrador y Depósito</v>
      </c>
      <c r="F15" s="259" t="str">
        <f t="shared" si="2"/>
        <v>gl</v>
      </c>
      <c r="G15" s="260">
        <f t="shared" si="3"/>
        <v>1</v>
      </c>
      <c r="H15" s="261">
        <f t="shared" si="4"/>
        <v>0</v>
      </c>
      <c r="I15" s="275">
        <f t="shared" ref="I15:I78" si="6">+H15*G15</f>
        <v>0</v>
      </c>
      <c r="J15" s="278">
        <f t="shared" si="5"/>
        <v>0</v>
      </c>
    </row>
    <row r="16" spans="2:10" ht="15.75" thickBot="1">
      <c r="B16" s="65" t="s">
        <v>1817</v>
      </c>
      <c r="C16" s="65" t="s">
        <v>1548</v>
      </c>
      <c r="D16" s="257">
        <f t="shared" si="0"/>
        <v>1.3</v>
      </c>
      <c r="E16" s="258" t="str">
        <f t="shared" si="1"/>
        <v>Calculo Tramitacion y Aprobacion de Planos</v>
      </c>
      <c r="F16" s="259" t="str">
        <f t="shared" si="2"/>
        <v>gl</v>
      </c>
      <c r="G16" s="260">
        <f t="shared" si="3"/>
        <v>1</v>
      </c>
      <c r="H16" s="261">
        <f t="shared" si="4"/>
        <v>0</v>
      </c>
      <c r="I16" s="275">
        <f t="shared" si="6"/>
        <v>0</v>
      </c>
      <c r="J16" s="278">
        <f t="shared" si="5"/>
        <v>0</v>
      </c>
    </row>
    <row r="17" spans="2:10" ht="15.75" thickBot="1">
      <c r="B17" s="65" t="s">
        <v>1818</v>
      </c>
      <c r="C17" s="65" t="s">
        <v>1549</v>
      </c>
      <c r="D17" s="257">
        <f t="shared" si="0"/>
        <v>1.4</v>
      </c>
      <c r="E17" s="258" t="str">
        <f t="shared" si="1"/>
        <v>Equipamiento Oficina Direccion de Obra</v>
      </c>
      <c r="F17" s="259" t="str">
        <f t="shared" si="2"/>
        <v>gl</v>
      </c>
      <c r="G17" s="260">
        <f t="shared" si="3"/>
        <v>1</v>
      </c>
      <c r="H17" s="261">
        <f t="shared" si="4"/>
        <v>0</v>
      </c>
      <c r="I17" s="275">
        <f t="shared" si="6"/>
        <v>0</v>
      </c>
      <c r="J17" s="278">
        <f t="shared" si="5"/>
        <v>0</v>
      </c>
    </row>
    <row r="18" spans="2:10" ht="15.75" thickBot="1">
      <c r="B18" s="65" t="s">
        <v>1819</v>
      </c>
      <c r="C18" s="65" t="s">
        <v>1550</v>
      </c>
      <c r="D18" s="257">
        <f t="shared" si="0"/>
        <v>1.5</v>
      </c>
      <c r="E18" s="258" t="str">
        <f t="shared" si="1"/>
        <v>Traslado de Inspeccion</v>
      </c>
      <c r="F18" s="259" t="str">
        <f t="shared" si="2"/>
        <v>gl</v>
      </c>
      <c r="G18" s="266">
        <f t="shared" si="3"/>
        <v>1</v>
      </c>
      <c r="H18" s="261">
        <f t="shared" si="4"/>
        <v>0</v>
      </c>
      <c r="I18" s="276">
        <f t="shared" si="6"/>
        <v>0</v>
      </c>
      <c r="J18" s="278">
        <f t="shared" si="5"/>
        <v>0</v>
      </c>
    </row>
    <row r="19" spans="2:10" ht="15.75" thickBot="1">
      <c r="B19" s="65" t="s">
        <v>1820</v>
      </c>
      <c r="D19" s="257" t="str">
        <f t="shared" si="0"/>
        <v>RUBRO II:</v>
      </c>
      <c r="E19" s="265" t="str">
        <f t="shared" si="1"/>
        <v xml:space="preserve"> MOVIMIENTO de SUELOS</v>
      </c>
      <c r="F19" s="270"/>
      <c r="G19" s="271"/>
      <c r="H19" s="272"/>
      <c r="I19" s="273"/>
      <c r="J19" s="289">
        <f>SUM(I20:I28)</f>
        <v>0</v>
      </c>
    </row>
    <row r="20" spans="2:10">
      <c r="B20" s="65" t="s">
        <v>1821</v>
      </c>
      <c r="C20" s="65" t="s">
        <v>1551</v>
      </c>
      <c r="D20" s="119"/>
      <c r="E20" s="122" t="str">
        <f t="shared" si="1"/>
        <v>Relleno y compactacion con material de aporte</v>
      </c>
      <c r="F20" s="249" t="str">
        <f t="shared" ref="F20:F29" si="7">VLOOKUP($B20,DATRUB,5,FALSE)</f>
        <v>m3</v>
      </c>
      <c r="G20" s="267">
        <f t="shared" ref="G20:G29" si="8">VLOOKUP($B20,DATRUB,6,FALSE)</f>
        <v>996.52800000000002</v>
      </c>
      <c r="H20" s="268">
        <f>VLOOKUP($C20,DATAP,8,FALSE)</f>
        <v>0</v>
      </c>
      <c r="I20" s="269">
        <f t="shared" si="6"/>
        <v>0</v>
      </c>
      <c r="J20" s="250"/>
    </row>
    <row r="21" spans="2:10">
      <c r="B21" s="65" t="s">
        <v>1822</v>
      </c>
      <c r="C21" s="65" t="s">
        <v>1552</v>
      </c>
      <c r="D21" s="119"/>
      <c r="E21" s="122" t="str">
        <f t="shared" si="1"/>
        <v>Excavacion para Fundaciones</v>
      </c>
      <c r="F21" s="123" t="str">
        <f t="shared" si="7"/>
        <v>m3</v>
      </c>
      <c r="G21" s="133">
        <f t="shared" si="8"/>
        <v>107</v>
      </c>
      <c r="H21" s="184">
        <f t="shared" ref="H21:H29" si="9">VLOOKUP($C21,DATAP,8,FALSE)</f>
        <v>0</v>
      </c>
      <c r="I21" s="135">
        <f t="shared" si="6"/>
        <v>0</v>
      </c>
      <c r="J21" s="250"/>
    </row>
    <row r="22" spans="2:10">
      <c r="B22" s="65" t="s">
        <v>1823</v>
      </c>
      <c r="C22" s="65" t="s">
        <v>1553</v>
      </c>
      <c r="D22" s="119"/>
      <c r="E22" s="122" t="str">
        <f t="shared" si="1"/>
        <v xml:space="preserve"> ESTRUCTURA RESISTENTE</v>
      </c>
      <c r="F22" s="123">
        <f t="shared" si="7"/>
        <v>0</v>
      </c>
      <c r="G22" s="133">
        <f t="shared" si="8"/>
        <v>0</v>
      </c>
      <c r="H22" s="184">
        <f t="shared" si="9"/>
        <v>0</v>
      </c>
      <c r="I22" s="135">
        <f t="shared" si="6"/>
        <v>0</v>
      </c>
      <c r="J22" s="250"/>
    </row>
    <row r="23" spans="2:10">
      <c r="B23" s="65" t="s">
        <v>1824</v>
      </c>
      <c r="C23" s="65" t="s">
        <v>1554</v>
      </c>
      <c r="D23" s="119"/>
      <c r="E23" s="122" t="str">
        <f t="shared" si="1"/>
        <v>Hormigón de Limpieza</v>
      </c>
      <c r="F23" s="123" t="str">
        <f t="shared" si="7"/>
        <v>m3</v>
      </c>
      <c r="G23" s="133">
        <f t="shared" si="8"/>
        <v>22.27</v>
      </c>
      <c r="H23" s="184">
        <f t="shared" si="9"/>
        <v>0</v>
      </c>
      <c r="I23" s="135">
        <f t="shared" si="6"/>
        <v>0</v>
      </c>
      <c r="J23" s="250"/>
    </row>
    <row r="24" spans="2:10">
      <c r="B24" s="65" t="s">
        <v>1825</v>
      </c>
      <c r="C24" s="65" t="s">
        <v>1555</v>
      </c>
      <c r="D24" s="119"/>
      <c r="E24" s="122" t="str">
        <f t="shared" si="1"/>
        <v>Cimiento comun con Piedra Bola</v>
      </c>
      <c r="F24" s="123" t="str">
        <f t="shared" si="7"/>
        <v>m3</v>
      </c>
      <c r="G24" s="133">
        <f t="shared" si="8"/>
        <v>68.900000000000006</v>
      </c>
      <c r="H24" s="184">
        <f t="shared" si="9"/>
        <v>0</v>
      </c>
      <c r="I24" s="135">
        <f t="shared" si="6"/>
        <v>0</v>
      </c>
      <c r="J24" s="250"/>
    </row>
    <row r="25" spans="2:10">
      <c r="B25" s="65" t="s">
        <v>1827</v>
      </c>
      <c r="C25" s="65" t="s">
        <v>1556</v>
      </c>
      <c r="D25" s="119"/>
      <c r="E25" s="122" t="str">
        <f t="shared" si="1"/>
        <v>Bases de Columnas</v>
      </c>
      <c r="F25" s="123" t="str">
        <f t="shared" si="7"/>
        <v>m3</v>
      </c>
      <c r="G25" s="133">
        <f t="shared" si="8"/>
        <v>14.48</v>
      </c>
      <c r="H25" s="184">
        <f t="shared" si="9"/>
        <v>0</v>
      </c>
      <c r="I25" s="135">
        <f t="shared" si="6"/>
        <v>0</v>
      </c>
      <c r="J25" s="250"/>
    </row>
    <row r="26" spans="2:10">
      <c r="B26" s="65" t="s">
        <v>1826</v>
      </c>
      <c r="C26" s="65" t="s">
        <v>1557</v>
      </c>
      <c r="D26" s="119"/>
      <c r="E26" s="122" t="str">
        <f t="shared" si="1"/>
        <v>Vigas de Arriostramiento y Fundacion</v>
      </c>
      <c r="F26" s="123" t="str">
        <f t="shared" si="7"/>
        <v>m3</v>
      </c>
      <c r="G26" s="133">
        <f t="shared" si="8"/>
        <v>23.8</v>
      </c>
      <c r="H26" s="184">
        <f t="shared" si="9"/>
        <v>0</v>
      </c>
      <c r="I26" s="135">
        <f t="shared" si="6"/>
        <v>0</v>
      </c>
      <c r="J26" s="250"/>
    </row>
    <row r="27" spans="2:10">
      <c r="B27" s="65" t="s">
        <v>1828</v>
      </c>
      <c r="C27" s="65" t="s">
        <v>1558</v>
      </c>
      <c r="D27" s="119"/>
      <c r="E27" s="122" t="str">
        <f t="shared" si="1"/>
        <v>Columnas de Carga</v>
      </c>
      <c r="F27" s="123" t="str">
        <f t="shared" si="7"/>
        <v>m3</v>
      </c>
      <c r="G27" s="133">
        <f t="shared" si="8"/>
        <v>11.74</v>
      </c>
      <c r="H27" s="184">
        <f t="shared" si="9"/>
        <v>0</v>
      </c>
      <c r="I27" s="135">
        <f t="shared" si="6"/>
        <v>0</v>
      </c>
      <c r="J27" s="250"/>
    </row>
    <row r="28" spans="2:10" ht="15.75" thickBot="1">
      <c r="B28" s="65" t="s">
        <v>1829</v>
      </c>
      <c r="C28" s="65" t="s">
        <v>1559</v>
      </c>
      <c r="D28" s="119"/>
      <c r="E28" s="122" t="str">
        <f t="shared" si="1"/>
        <v>Columnas de Encadenado</v>
      </c>
      <c r="F28" s="123" t="str">
        <f t="shared" si="7"/>
        <v>m3</v>
      </c>
      <c r="G28" s="133">
        <f t="shared" si="8"/>
        <v>11.64</v>
      </c>
      <c r="H28" s="184">
        <f t="shared" si="9"/>
        <v>0</v>
      </c>
      <c r="I28" s="135">
        <f t="shared" si="6"/>
        <v>0</v>
      </c>
      <c r="J28" s="250"/>
    </row>
    <row r="29" spans="2:10" ht="15.75" thickBot="1">
      <c r="B29" s="65" t="s">
        <v>1830</v>
      </c>
      <c r="C29" s="65" t="s">
        <v>1560</v>
      </c>
      <c r="D29" s="257">
        <f>VLOOKUP($B29,DATRUB,3,FALSE)</f>
        <v>3.7</v>
      </c>
      <c r="E29" s="258" t="str">
        <f t="shared" si="1"/>
        <v>Vigas de Encadenado</v>
      </c>
      <c r="F29" s="259" t="str">
        <f t="shared" si="7"/>
        <v>m3</v>
      </c>
      <c r="G29" s="260">
        <f t="shared" si="8"/>
        <v>15.58</v>
      </c>
      <c r="H29" s="261">
        <f t="shared" si="9"/>
        <v>0</v>
      </c>
      <c r="I29" s="275">
        <f t="shared" si="6"/>
        <v>0</v>
      </c>
      <c r="J29" s="278">
        <f>+I29</f>
        <v>0</v>
      </c>
    </row>
    <row r="30" spans="2:10" ht="15.75" thickBot="1">
      <c r="B30" s="65" t="s">
        <v>1831</v>
      </c>
      <c r="D30" s="257">
        <f>VLOOKUP($B30,DATRUB,3,FALSE)</f>
        <v>3.8</v>
      </c>
      <c r="E30" s="258" t="str">
        <f t="shared" si="1"/>
        <v>Vigas de Carga</v>
      </c>
      <c r="F30" s="270"/>
      <c r="G30" s="271"/>
      <c r="H30" s="272"/>
      <c r="I30" s="273"/>
      <c r="J30" s="289">
        <f>SUM(I31:I33)</f>
        <v>0</v>
      </c>
    </row>
    <row r="31" spans="2:10">
      <c r="B31" s="65" t="s">
        <v>1832</v>
      </c>
      <c r="C31" s="65" t="s">
        <v>1561</v>
      </c>
      <c r="D31" s="119"/>
      <c r="E31" s="122" t="str">
        <f t="shared" si="1"/>
        <v>Losa Maciza de Hormigon visto</v>
      </c>
      <c r="F31" s="123" t="str">
        <f>VLOOKUP($B31,DATRUB,5,FALSE)</f>
        <v>m3</v>
      </c>
      <c r="G31" s="133">
        <f>VLOOKUP($B31,DATRUB,6,FALSE)</f>
        <v>96.79</v>
      </c>
      <c r="H31" s="184">
        <f>VLOOKUP($C31,DATAP,8,FALSE)</f>
        <v>0</v>
      </c>
      <c r="I31" s="135">
        <f t="shared" si="6"/>
        <v>0</v>
      </c>
      <c r="J31" s="250"/>
    </row>
    <row r="32" spans="2:10">
      <c r="B32" s="65" t="s">
        <v>1833</v>
      </c>
      <c r="C32" s="65" t="s">
        <v>1562</v>
      </c>
      <c r="D32" s="119"/>
      <c r="E32" s="122" t="str">
        <f t="shared" si="1"/>
        <v>ALBAÑILERÍA</v>
      </c>
      <c r="F32" s="123">
        <f>VLOOKUP($B32,DATRUB,5,FALSE)</f>
        <v>0</v>
      </c>
      <c r="G32" s="133">
        <f>VLOOKUP($B32,DATRUB,6,FALSE)</f>
        <v>0</v>
      </c>
      <c r="H32" s="184">
        <f>VLOOKUP($C32,DATAP,8,FALSE)</f>
        <v>0</v>
      </c>
      <c r="I32" s="135">
        <f t="shared" si="6"/>
        <v>0</v>
      </c>
      <c r="J32" s="250"/>
    </row>
    <row r="33" spans="2:10" ht="15.75" thickBot="1">
      <c r="B33" s="65" t="s">
        <v>1834</v>
      </c>
      <c r="C33" s="65" t="s">
        <v>1563</v>
      </c>
      <c r="D33" s="119"/>
      <c r="E33" s="122" t="str">
        <f t="shared" si="1"/>
        <v>Mamposteria de ladrillon de 0.30 de espesor</v>
      </c>
      <c r="F33" s="123" t="str">
        <f>VLOOKUP($B33,DATRUB,5,FALSE)</f>
        <v>m2</v>
      </c>
      <c r="G33" s="133">
        <f>VLOOKUP($B33,DATRUB,6,FALSE)</f>
        <v>490</v>
      </c>
      <c r="H33" s="184">
        <f>VLOOKUP($C33,DATAP,8,FALSE)</f>
        <v>0</v>
      </c>
      <c r="I33" s="135">
        <f t="shared" si="6"/>
        <v>0</v>
      </c>
      <c r="J33" s="250"/>
    </row>
    <row r="34" spans="2:10" ht="15.75" thickBot="1">
      <c r="B34" s="65" t="s">
        <v>1835</v>
      </c>
      <c r="D34" s="257">
        <f>VLOOKUP($B34,DATRUB,3,FALSE)</f>
        <v>4.2</v>
      </c>
      <c r="E34" s="258" t="str">
        <f t="shared" si="1"/>
        <v>Mamposteria de ladrillon de 0.20 de espesor</v>
      </c>
      <c r="F34" s="270"/>
      <c r="G34" s="271"/>
      <c r="H34" s="272"/>
      <c r="I34" s="273"/>
      <c r="J34" s="289">
        <f>SUM(I35:I39)</f>
        <v>0</v>
      </c>
    </row>
    <row r="35" spans="2:10">
      <c r="B35" s="65" t="s">
        <v>1836</v>
      </c>
      <c r="C35" s="65" t="s">
        <v>1564</v>
      </c>
      <c r="D35" s="119"/>
      <c r="E35" s="122" t="str">
        <f t="shared" si="1"/>
        <v>Mamposteria de ladrillo de 0.12 de espesor</v>
      </c>
      <c r="F35" s="123" t="str">
        <f t="shared" ref="F35:F42" si="10">VLOOKUP($B35,DATRUB,5,FALSE)</f>
        <v>m2</v>
      </c>
      <c r="G35" s="133">
        <f t="shared" ref="G35:G42" si="11">VLOOKUP($B35,DATRUB,6,FALSE)</f>
        <v>26.5</v>
      </c>
      <c r="H35" s="184">
        <f t="shared" ref="H35:H42" si="12">VLOOKUP($C35,DATAP,8,FALSE)</f>
        <v>0</v>
      </c>
      <c r="I35" s="135">
        <f t="shared" si="6"/>
        <v>0</v>
      </c>
      <c r="J35" s="250"/>
    </row>
    <row r="36" spans="2:10">
      <c r="B36" s="65" t="s">
        <v>1837</v>
      </c>
      <c r="C36" s="65" t="s">
        <v>1565</v>
      </c>
      <c r="D36" s="119"/>
      <c r="E36" s="122" t="str">
        <f t="shared" si="1"/>
        <v>Capa Aisladora</v>
      </c>
      <c r="F36" s="123" t="str">
        <f t="shared" si="10"/>
        <v>m2</v>
      </c>
      <c r="G36" s="133">
        <f t="shared" si="11"/>
        <v>56.956000000000003</v>
      </c>
      <c r="H36" s="184">
        <f t="shared" si="12"/>
        <v>0</v>
      </c>
      <c r="I36" s="135">
        <f t="shared" si="6"/>
        <v>0</v>
      </c>
      <c r="J36" s="250"/>
    </row>
    <row r="37" spans="2:10">
      <c r="B37" s="65" t="s">
        <v>1838</v>
      </c>
      <c r="C37" s="65" t="s">
        <v>1566</v>
      </c>
      <c r="D37" s="119"/>
      <c r="E37" s="122" t="str">
        <f t="shared" si="1"/>
        <v>Tabiques divisorios en sanitarios</v>
      </c>
      <c r="F37" s="123" t="str">
        <f t="shared" si="10"/>
        <v>m2</v>
      </c>
      <c r="G37" s="133">
        <f t="shared" si="11"/>
        <v>15.280000000000001</v>
      </c>
      <c r="H37" s="184">
        <f t="shared" si="12"/>
        <v>0</v>
      </c>
      <c r="I37" s="135">
        <f t="shared" si="6"/>
        <v>0</v>
      </c>
      <c r="J37" s="250"/>
    </row>
    <row r="38" spans="2:10">
      <c r="B38" s="65" t="s">
        <v>1839</v>
      </c>
      <c r="C38" s="65" t="s">
        <v>1567</v>
      </c>
      <c r="D38" s="119"/>
      <c r="E38" s="122" t="str">
        <f t="shared" si="1"/>
        <v>Tabiques de roca de yeso tipo Durlock</v>
      </c>
      <c r="F38" s="123" t="str">
        <f t="shared" si="10"/>
        <v>m2</v>
      </c>
      <c r="G38" s="133">
        <f t="shared" si="11"/>
        <v>45.6</v>
      </c>
      <c r="H38" s="184">
        <f t="shared" si="12"/>
        <v>0</v>
      </c>
      <c r="I38" s="135">
        <f t="shared" si="6"/>
        <v>0</v>
      </c>
      <c r="J38" s="250"/>
    </row>
    <row r="39" spans="2:10" ht="15.75" thickBot="1">
      <c r="B39" s="65" t="s">
        <v>1840</v>
      </c>
      <c r="C39" s="65" t="s">
        <v>1568</v>
      </c>
      <c r="D39" s="119"/>
      <c r="E39" s="122" t="str">
        <f t="shared" si="1"/>
        <v>REVOQUES</v>
      </c>
      <c r="F39" s="123">
        <f t="shared" si="10"/>
        <v>0</v>
      </c>
      <c r="G39" s="133">
        <f t="shared" si="11"/>
        <v>0</v>
      </c>
      <c r="H39" s="184">
        <f t="shared" si="12"/>
        <v>0</v>
      </c>
      <c r="I39" s="135">
        <f t="shared" si="6"/>
        <v>0</v>
      </c>
      <c r="J39" s="250"/>
    </row>
    <row r="40" spans="2:10" ht="15.75" thickBot="1">
      <c r="B40" s="65" t="s">
        <v>1841</v>
      </c>
      <c r="C40" s="65" t="s">
        <v>1569</v>
      </c>
      <c r="D40" s="257">
        <f>VLOOKUP($B40,DATRUB,3,FALSE)</f>
        <v>5.0999999999999996</v>
      </c>
      <c r="E40" s="258" t="str">
        <f t="shared" si="1"/>
        <v>Grueso Interior/Exterior</v>
      </c>
      <c r="F40" s="259" t="str">
        <f t="shared" si="10"/>
        <v>m2</v>
      </c>
      <c r="G40" s="260">
        <f t="shared" si="11"/>
        <v>1139.6600000000001</v>
      </c>
      <c r="H40" s="261">
        <f t="shared" si="12"/>
        <v>0</v>
      </c>
      <c r="I40" s="275">
        <f t="shared" si="6"/>
        <v>0</v>
      </c>
      <c r="J40" s="278">
        <f>+I40</f>
        <v>0</v>
      </c>
    </row>
    <row r="41" spans="2:10" ht="15.75" thickBot="1">
      <c r="B41" s="65" t="s">
        <v>1842</v>
      </c>
      <c r="C41" s="65" t="s">
        <v>1570</v>
      </c>
      <c r="D41" s="257">
        <f>VLOOKUP($B41,DATRUB,3,FALSE)</f>
        <v>5.2</v>
      </c>
      <c r="E41" s="258" t="str">
        <f t="shared" si="1"/>
        <v>Enlucido a la cal Interior</v>
      </c>
      <c r="F41" s="259" t="str">
        <f t="shared" si="10"/>
        <v>m2</v>
      </c>
      <c r="G41" s="260">
        <f t="shared" si="11"/>
        <v>842.66000000000008</v>
      </c>
      <c r="H41" s="261">
        <f t="shared" si="12"/>
        <v>0</v>
      </c>
      <c r="I41" s="280">
        <f t="shared" si="6"/>
        <v>0</v>
      </c>
      <c r="J41" s="278">
        <f>+I41</f>
        <v>0</v>
      </c>
    </row>
    <row r="42" spans="2:10" ht="15.75" thickBot="1">
      <c r="B42" s="65" t="s">
        <v>1843</v>
      </c>
      <c r="C42" s="65" t="s">
        <v>1571</v>
      </c>
      <c r="D42" s="257">
        <f>VLOOKUP($B42,DATRUB,3,FALSE)</f>
        <v>5.3</v>
      </c>
      <c r="E42" s="258" t="str">
        <f t="shared" si="1"/>
        <v>Grueso Interior bajo revestimiento</v>
      </c>
      <c r="F42" s="259" t="str">
        <f t="shared" si="10"/>
        <v>m2</v>
      </c>
      <c r="G42" s="260">
        <f t="shared" si="11"/>
        <v>158.34</v>
      </c>
      <c r="H42" s="261">
        <f t="shared" si="12"/>
        <v>0</v>
      </c>
      <c r="I42" s="280">
        <f t="shared" si="6"/>
        <v>0</v>
      </c>
      <c r="J42" s="278">
        <f>+I42</f>
        <v>0</v>
      </c>
    </row>
    <row r="43" spans="2:10" ht="15.75" thickBot="1">
      <c r="B43" s="65" t="s">
        <v>1844</v>
      </c>
      <c r="D43" s="257">
        <f>VLOOKUP($B43,DATRUB,3,FALSE)</f>
        <v>5.4</v>
      </c>
      <c r="E43" s="258" t="str">
        <f t="shared" si="1"/>
        <v>Salpicado cementicio terminacion planchada con llana</v>
      </c>
      <c r="F43" s="270"/>
      <c r="G43" s="271"/>
      <c r="H43" s="272"/>
      <c r="I43" s="273"/>
      <c r="J43" s="289">
        <f>SUM(I44:I48)</f>
        <v>0</v>
      </c>
    </row>
    <row r="44" spans="2:10">
      <c r="B44" s="65" t="s">
        <v>1845</v>
      </c>
      <c r="C44" s="65" t="s">
        <v>1572</v>
      </c>
      <c r="D44" s="119"/>
      <c r="E44" s="122" t="str">
        <f t="shared" si="1"/>
        <v>CIELORRASOS</v>
      </c>
      <c r="F44" s="123">
        <f>VLOOKUP($B44,DATRUB,5,FALSE)</f>
        <v>0</v>
      </c>
      <c r="G44" s="133">
        <f>VLOOKUP($B44,DATRUB,6,FALSE)</f>
        <v>0</v>
      </c>
      <c r="H44" s="184">
        <f>VLOOKUP($C44,DATAP,8,FALSE)</f>
        <v>0</v>
      </c>
      <c r="I44" s="135">
        <f t="shared" si="6"/>
        <v>0</v>
      </c>
      <c r="J44" s="250"/>
    </row>
    <row r="45" spans="2:10">
      <c r="B45" s="65" t="s">
        <v>1846</v>
      </c>
      <c r="C45" s="65" t="s">
        <v>1573</v>
      </c>
      <c r="D45" s="119"/>
      <c r="E45" s="122" t="str">
        <f t="shared" ref="E45:E78" si="13">VLOOKUP($B45,DATRUB,4,FALSE)</f>
        <v>CONTRAPISOS, CARPETAS, PISOS, UMBRALES y ZÓCALOS,</v>
      </c>
      <c r="F45" s="123">
        <f>VLOOKUP($B45,DATRUB,5,FALSE)</f>
        <v>0</v>
      </c>
      <c r="G45" s="133">
        <f>VLOOKUP($B45,DATRUB,6,FALSE)</f>
        <v>0</v>
      </c>
      <c r="H45" s="184">
        <f>VLOOKUP($C45,DATAP,8,FALSE)</f>
        <v>0</v>
      </c>
      <c r="I45" s="135">
        <f t="shared" si="6"/>
        <v>0</v>
      </c>
      <c r="J45" s="250"/>
    </row>
    <row r="46" spans="2:10">
      <c r="B46" s="65" t="s">
        <v>1847</v>
      </c>
      <c r="C46" s="65" t="s">
        <v>1574</v>
      </c>
      <c r="D46" s="119"/>
      <c r="E46" s="122" t="str">
        <f t="shared" si="13"/>
        <v>De Hº Alivianado con Membrana Asfáltica  (Completa)</v>
      </c>
      <c r="F46" s="123" t="str">
        <f>VLOOKUP($B46,DATRUB,5,FALSE)</f>
        <v>m2</v>
      </c>
      <c r="G46" s="133">
        <f>VLOOKUP($B46,DATRUB,6,FALSE)</f>
        <v>654</v>
      </c>
      <c r="H46" s="184">
        <f>VLOOKUP($C46,DATAP,8,FALSE)</f>
        <v>0</v>
      </c>
      <c r="I46" s="135">
        <f t="shared" si="6"/>
        <v>0</v>
      </c>
      <c r="J46" s="250"/>
    </row>
    <row r="47" spans="2:10">
      <c r="B47" s="65" t="s">
        <v>1848</v>
      </c>
      <c r="C47" s="65" t="s">
        <v>1575</v>
      </c>
      <c r="D47" s="119"/>
      <c r="E47" s="122" t="str">
        <f t="shared" si="13"/>
        <v>Contrapiso Común Bajo Piso  (-e- 8cm.)</v>
      </c>
      <c r="F47" s="123" t="str">
        <f>VLOOKUP($B47,DATRUB,5,FALSE)</f>
        <v>m2</v>
      </c>
      <c r="G47" s="133">
        <f>VLOOKUP($B47,DATRUB,6,FALSE)</f>
        <v>557</v>
      </c>
      <c r="H47" s="184">
        <f>VLOOKUP($C47,DATAP,8,FALSE)</f>
        <v>0</v>
      </c>
      <c r="I47" s="135">
        <f t="shared" si="6"/>
        <v>0</v>
      </c>
      <c r="J47" s="250"/>
    </row>
    <row r="48" spans="2:10" ht="15.75" thickBot="1">
      <c r="B48" s="65" t="s">
        <v>1849</v>
      </c>
      <c r="C48" s="65" t="s">
        <v>1576</v>
      </c>
      <c r="D48" s="119"/>
      <c r="E48" s="122" t="str">
        <f t="shared" si="13"/>
        <v>Carpeta de Asiento bajo Cerámico</v>
      </c>
      <c r="F48" s="123" t="str">
        <f>VLOOKUP($B48,DATRUB,5,FALSE)</f>
        <v>m2</v>
      </c>
      <c r="G48" s="133">
        <f>VLOOKUP($B48,DATRUB,6,FALSE)</f>
        <v>151</v>
      </c>
      <c r="H48" s="184">
        <f>VLOOKUP($C48,DATAP,8,FALSE)</f>
        <v>0</v>
      </c>
      <c r="I48" s="135">
        <f t="shared" si="6"/>
        <v>0</v>
      </c>
      <c r="J48" s="250"/>
    </row>
    <row r="49" spans="2:10" ht="15.75" thickBot="1">
      <c r="B49" s="65" t="s">
        <v>1850</v>
      </c>
      <c r="D49" s="257">
        <f t="shared" ref="D49:D78" si="14">VLOOKUP($B49,DATRUB,3,FALSE)</f>
        <v>7.4</v>
      </c>
      <c r="E49" s="258" t="str">
        <f t="shared" si="13"/>
        <v>Piso Industrialde Hormigon Llaneado c/endurecedor c/fibra de nylon</v>
      </c>
      <c r="F49" s="270"/>
      <c r="G49" s="271"/>
      <c r="H49" s="272"/>
      <c r="I49" s="273"/>
      <c r="J49" s="289">
        <f>SUM(I50:I51)</f>
        <v>0</v>
      </c>
    </row>
    <row r="50" spans="2:10">
      <c r="B50" s="65" t="s">
        <v>1851</v>
      </c>
      <c r="C50" s="65" t="s">
        <v>1577</v>
      </c>
      <c r="D50" s="119"/>
      <c r="E50" s="122" t="str">
        <f t="shared" si="13"/>
        <v>De Cerámico 20 x 20 p/ sanitarios</v>
      </c>
      <c r="F50" s="123" t="str">
        <f t="shared" ref="F50:F59" si="15">VLOOKUP($B50,DATRUB,5,FALSE)</f>
        <v>m2</v>
      </c>
      <c r="G50" s="133">
        <f t="shared" ref="G50:G59" si="16">VLOOKUP($B50,DATRUB,6,FALSE)</f>
        <v>151</v>
      </c>
      <c r="H50" s="184">
        <f t="shared" ref="H50:H59" si="17">VLOOKUP($C50,DATAP,8,FALSE)</f>
        <v>0</v>
      </c>
      <c r="I50" s="135">
        <f>+H50*G50</f>
        <v>0</v>
      </c>
      <c r="J50" s="250"/>
    </row>
    <row r="51" spans="2:10" ht="15.75" thickBot="1">
      <c r="B51" s="65" t="s">
        <v>1852</v>
      </c>
      <c r="C51" s="65" t="s">
        <v>1578</v>
      </c>
      <c r="D51" s="119"/>
      <c r="E51" s="122" t="str">
        <f t="shared" si="13"/>
        <v>De Hormigón Alisado terminado al frataz en vereda perimetral</v>
      </c>
      <c r="F51" s="123" t="str">
        <f t="shared" si="15"/>
        <v>m2</v>
      </c>
      <c r="G51" s="133">
        <f t="shared" si="16"/>
        <v>292</v>
      </c>
      <c r="H51" s="184">
        <f t="shared" si="17"/>
        <v>0</v>
      </c>
      <c r="I51" s="135">
        <f t="shared" si="6"/>
        <v>0</v>
      </c>
      <c r="J51" s="250"/>
    </row>
    <row r="52" spans="2:10" ht="15.75" thickBot="1">
      <c r="B52" s="65" t="s">
        <v>1853</v>
      </c>
      <c r="C52" s="65" t="s">
        <v>1579</v>
      </c>
      <c r="D52" s="257">
        <f t="shared" si="14"/>
        <v>7.7</v>
      </c>
      <c r="E52" s="258" t="str">
        <f t="shared" si="13"/>
        <v>Zócalo Porcellanatto h: 10 cm color a definir</v>
      </c>
      <c r="F52" s="259" t="str">
        <f t="shared" si="15"/>
        <v>m2</v>
      </c>
      <c r="G52" s="260">
        <f t="shared" si="16"/>
        <v>33.049999999999997</v>
      </c>
      <c r="H52" s="261">
        <f t="shared" si="17"/>
        <v>0</v>
      </c>
      <c r="I52" s="275">
        <f t="shared" si="6"/>
        <v>0</v>
      </c>
      <c r="J52" s="278">
        <f>+I52</f>
        <v>0</v>
      </c>
    </row>
    <row r="53" spans="2:10" ht="15.75" thickBot="1">
      <c r="B53" s="65" t="s">
        <v>1854</v>
      </c>
      <c r="C53" s="65" t="s">
        <v>1580</v>
      </c>
      <c r="D53" s="257" t="str">
        <f t="shared" si="14"/>
        <v>RUBRO VIII:</v>
      </c>
      <c r="E53" s="258" t="str">
        <f t="shared" si="13"/>
        <v>REVESTIMIENTOS</v>
      </c>
      <c r="F53" s="259">
        <f t="shared" si="15"/>
        <v>0</v>
      </c>
      <c r="G53" s="260">
        <f t="shared" si="16"/>
        <v>0</v>
      </c>
      <c r="H53" s="261">
        <f t="shared" si="17"/>
        <v>0</v>
      </c>
      <c r="I53" s="275">
        <f t="shared" si="6"/>
        <v>0</v>
      </c>
      <c r="J53" s="278">
        <f t="shared" ref="J53:J59" si="18">+I53</f>
        <v>0</v>
      </c>
    </row>
    <row r="54" spans="2:10" ht="15.75" thickBot="1">
      <c r="B54" s="65" t="s">
        <v>1855</v>
      </c>
      <c r="C54" s="65" t="s">
        <v>1581</v>
      </c>
      <c r="D54" s="257">
        <f t="shared" si="14"/>
        <v>8.1</v>
      </c>
      <c r="E54" s="258" t="str">
        <f t="shared" si="13"/>
        <v>Ceramico</v>
      </c>
      <c r="F54" s="259" t="str">
        <f t="shared" si="15"/>
        <v>m2</v>
      </c>
      <c r="G54" s="260">
        <f t="shared" si="16"/>
        <v>151</v>
      </c>
      <c r="H54" s="261">
        <f t="shared" si="17"/>
        <v>0</v>
      </c>
      <c r="I54" s="275">
        <f t="shared" si="6"/>
        <v>0</v>
      </c>
      <c r="J54" s="278">
        <f t="shared" si="18"/>
        <v>0</v>
      </c>
    </row>
    <row r="55" spans="2:10" ht="15.75" thickBot="1">
      <c r="B55" s="65" t="s">
        <v>1856</v>
      </c>
      <c r="C55" s="65" t="s">
        <v>1582</v>
      </c>
      <c r="D55" s="257" t="str">
        <f t="shared" si="14"/>
        <v>RUBRO IX:</v>
      </c>
      <c r="E55" s="258" t="str">
        <f t="shared" si="13"/>
        <v>MESADAS, MARMOLERÍA</v>
      </c>
      <c r="F55" s="259">
        <f t="shared" si="15"/>
        <v>0</v>
      </c>
      <c r="G55" s="260">
        <f t="shared" si="16"/>
        <v>0</v>
      </c>
      <c r="H55" s="261">
        <f t="shared" si="17"/>
        <v>0</v>
      </c>
      <c r="I55" s="275">
        <f t="shared" si="6"/>
        <v>0</v>
      </c>
      <c r="J55" s="278">
        <f t="shared" si="18"/>
        <v>0</v>
      </c>
    </row>
    <row r="56" spans="2:10" ht="15.75" thickBot="1">
      <c r="B56" s="65" t="s">
        <v>1857</v>
      </c>
      <c r="C56" s="65" t="s">
        <v>1583</v>
      </c>
      <c r="D56" s="257">
        <f t="shared" si="14"/>
        <v>9.1</v>
      </c>
      <c r="E56" s="258" t="str">
        <f t="shared" si="13"/>
        <v>Mesadas Baños (2,20 x 0,60)</v>
      </c>
      <c r="F56" s="259" t="str">
        <f t="shared" si="15"/>
        <v>m2</v>
      </c>
      <c r="G56" s="260">
        <f t="shared" si="16"/>
        <v>2.64</v>
      </c>
      <c r="H56" s="261">
        <f t="shared" si="17"/>
        <v>0</v>
      </c>
      <c r="I56" s="275">
        <f t="shared" si="6"/>
        <v>0</v>
      </c>
      <c r="J56" s="278">
        <f t="shared" si="18"/>
        <v>0</v>
      </c>
    </row>
    <row r="57" spans="2:10" ht="15.75" thickBot="1">
      <c r="B57" s="65" t="s">
        <v>1889</v>
      </c>
      <c r="C57" s="65" t="s">
        <v>1584</v>
      </c>
      <c r="D57" s="257" t="str">
        <f t="shared" si="14"/>
        <v>RUBRO X:</v>
      </c>
      <c r="E57" s="258" t="str">
        <f t="shared" si="13"/>
        <v>CARPINTERÍA de MADERA</v>
      </c>
      <c r="F57" s="259">
        <f t="shared" si="15"/>
        <v>0</v>
      </c>
      <c r="G57" s="260">
        <f t="shared" si="16"/>
        <v>0</v>
      </c>
      <c r="H57" s="261">
        <f t="shared" si="17"/>
        <v>0</v>
      </c>
      <c r="I57" s="275">
        <f t="shared" si="6"/>
        <v>0</v>
      </c>
      <c r="J57" s="278">
        <f t="shared" si="18"/>
        <v>0</v>
      </c>
    </row>
    <row r="58" spans="2:10" ht="15.75" thickBot="1">
      <c r="B58" s="65" t="s">
        <v>1858</v>
      </c>
      <c r="C58" s="65" t="s">
        <v>1585</v>
      </c>
      <c r="D58" s="257">
        <f t="shared" si="14"/>
        <v>10.1</v>
      </c>
      <c r="E58" s="258" t="str">
        <f t="shared" si="13"/>
        <v>P3 : 1,00 x 2,05 Hoja (Baño Discapacitados)</v>
      </c>
      <c r="F58" s="259" t="str">
        <f t="shared" si="15"/>
        <v>ud</v>
      </c>
      <c r="G58" s="260">
        <f t="shared" si="16"/>
        <v>1</v>
      </c>
      <c r="H58" s="261">
        <f t="shared" si="17"/>
        <v>0</v>
      </c>
      <c r="I58" s="275">
        <f t="shared" si="6"/>
        <v>0</v>
      </c>
      <c r="J58" s="278">
        <f t="shared" si="18"/>
        <v>0</v>
      </c>
    </row>
    <row r="59" spans="2:10" ht="15.75" thickBot="1">
      <c r="B59" s="65" t="s">
        <v>1859</v>
      </c>
      <c r="C59" s="65" t="s">
        <v>1586</v>
      </c>
      <c r="D59" s="257">
        <f t="shared" si="14"/>
        <v>10.199999999999999</v>
      </c>
      <c r="E59" s="258" t="str">
        <f t="shared" si="13"/>
        <v>P2 : 0,95 x 2,05 Hoja (Acceso baños)</v>
      </c>
      <c r="F59" s="259" t="str">
        <f t="shared" si="15"/>
        <v>ud</v>
      </c>
      <c r="G59" s="260">
        <f t="shared" si="16"/>
        <v>2</v>
      </c>
      <c r="H59" s="261">
        <f t="shared" si="17"/>
        <v>0</v>
      </c>
      <c r="I59" s="275">
        <f t="shared" si="6"/>
        <v>0</v>
      </c>
      <c r="J59" s="278">
        <f t="shared" si="18"/>
        <v>0</v>
      </c>
    </row>
    <row r="60" spans="2:10" ht="15.75" thickBot="1">
      <c r="B60" s="65" t="s">
        <v>1890</v>
      </c>
      <c r="D60" s="257">
        <f t="shared" si="14"/>
        <v>10.3</v>
      </c>
      <c r="E60" s="258" t="str">
        <f t="shared" si="13"/>
        <v>P4:  0,70 x 1,80 Hoja (Baños Retretes)</v>
      </c>
      <c r="F60" s="270"/>
      <c r="G60" s="271"/>
      <c r="H60" s="272"/>
      <c r="I60" s="273"/>
      <c r="J60" s="289">
        <f>SUM(I61:I66)</f>
        <v>0</v>
      </c>
    </row>
    <row r="61" spans="2:10">
      <c r="B61" s="65" t="s">
        <v>1860</v>
      </c>
      <c r="C61" s="65" t="s">
        <v>1587</v>
      </c>
      <c r="D61" s="119"/>
      <c r="E61" s="281" t="str">
        <f t="shared" si="13"/>
        <v>CARPINTERÍA METÁLICA y HERRERÍA</v>
      </c>
      <c r="F61" s="123">
        <f t="shared" ref="F61:F78" si="19">VLOOKUP($B61,DATRUB,5,FALSE)</f>
        <v>0</v>
      </c>
      <c r="G61" s="133">
        <f t="shared" ref="G61:G78" si="20">VLOOKUP($B61,DATRUB,6,FALSE)</f>
        <v>0</v>
      </c>
      <c r="H61" s="184">
        <f t="shared" ref="H61:H78" si="21">VLOOKUP($C61,DATAP,8,FALSE)</f>
        <v>0</v>
      </c>
      <c r="I61" s="135">
        <f t="shared" si="6"/>
        <v>0</v>
      </c>
      <c r="J61" s="250"/>
    </row>
    <row r="62" spans="2:10">
      <c r="B62" s="65" t="s">
        <v>1877</v>
      </c>
      <c r="C62" s="65" t="s">
        <v>1588</v>
      </c>
      <c r="D62" s="119"/>
      <c r="E62" s="281" t="str">
        <f t="shared" si="13"/>
        <v>P1: 1,50 x 2,55</v>
      </c>
      <c r="F62" s="123" t="str">
        <f t="shared" si="19"/>
        <v>ud</v>
      </c>
      <c r="G62" s="133">
        <f t="shared" si="20"/>
        <v>8</v>
      </c>
      <c r="H62" s="184">
        <f t="shared" si="21"/>
        <v>0</v>
      </c>
      <c r="I62" s="135">
        <f t="shared" si="6"/>
        <v>0</v>
      </c>
      <c r="J62" s="250"/>
    </row>
    <row r="63" spans="2:10">
      <c r="B63" s="65" t="s">
        <v>1861</v>
      </c>
      <c r="C63" s="65" t="s">
        <v>1589</v>
      </c>
      <c r="D63" s="119"/>
      <c r="E63" s="281" t="str">
        <f t="shared" si="13"/>
        <v>P2: 1,00 x 2,55 Marco (Acceso Baños)</v>
      </c>
      <c r="F63" s="123" t="str">
        <f t="shared" si="19"/>
        <v>ud</v>
      </c>
      <c r="G63" s="133">
        <f t="shared" si="20"/>
        <v>1</v>
      </c>
      <c r="H63" s="184">
        <f t="shared" si="21"/>
        <v>0</v>
      </c>
      <c r="I63" s="135">
        <f t="shared" si="6"/>
        <v>0</v>
      </c>
      <c r="J63" s="250"/>
    </row>
    <row r="64" spans="2:10">
      <c r="B64" s="65" t="s">
        <v>1862</v>
      </c>
      <c r="C64" s="65" t="s">
        <v>1590</v>
      </c>
      <c r="D64" s="119"/>
      <c r="E64" s="281" t="str">
        <f t="shared" si="13"/>
        <v>P3: 1,00 x 2,55 Marco (Baño Discapacitados)</v>
      </c>
      <c r="F64" s="123" t="str">
        <f t="shared" si="19"/>
        <v>ud</v>
      </c>
      <c r="G64" s="133">
        <f t="shared" si="20"/>
        <v>2</v>
      </c>
      <c r="H64" s="184">
        <f t="shared" si="21"/>
        <v>0</v>
      </c>
      <c r="I64" s="135">
        <f t="shared" si="6"/>
        <v>0</v>
      </c>
      <c r="J64" s="250"/>
    </row>
    <row r="65" spans="2:10">
      <c r="B65" s="65" t="s">
        <v>1863</v>
      </c>
      <c r="C65" s="65" t="s">
        <v>1591</v>
      </c>
      <c r="D65" s="119"/>
      <c r="E65" s="281" t="str">
        <f t="shared" si="13"/>
        <v>P4: 0,90 x 1,80 Marco (Baño Retretes)</v>
      </c>
      <c r="F65" s="123" t="str">
        <f t="shared" si="19"/>
        <v>ud</v>
      </c>
      <c r="G65" s="133">
        <f t="shared" si="20"/>
        <v>6</v>
      </c>
      <c r="H65" s="184">
        <f t="shared" si="21"/>
        <v>0</v>
      </c>
      <c r="I65" s="135">
        <f t="shared" si="6"/>
        <v>0</v>
      </c>
      <c r="J65" s="250"/>
    </row>
    <row r="66" spans="2:10" ht="15.75" thickBot="1">
      <c r="B66" s="65" t="s">
        <v>1864</v>
      </c>
      <c r="C66" s="65" t="s">
        <v>1592</v>
      </c>
      <c r="D66" s="119"/>
      <c r="E66" s="281" t="str">
        <f t="shared" si="13"/>
        <v>PV1: 6,73 x 2,55</v>
      </c>
      <c r="F66" s="123" t="str">
        <f t="shared" si="19"/>
        <v>ud</v>
      </c>
      <c r="G66" s="133">
        <f t="shared" si="20"/>
        <v>1</v>
      </c>
      <c r="H66" s="184">
        <f t="shared" si="21"/>
        <v>0</v>
      </c>
      <c r="I66" s="135">
        <f t="shared" si="6"/>
        <v>0</v>
      </c>
      <c r="J66" s="250"/>
    </row>
    <row r="67" spans="2:10" ht="15.75" thickBot="1">
      <c r="B67" s="65" t="s">
        <v>1865</v>
      </c>
      <c r="C67" s="65" t="s">
        <v>1893</v>
      </c>
      <c r="D67" s="257">
        <f t="shared" si="14"/>
        <v>11.6</v>
      </c>
      <c r="E67" s="258" t="str">
        <f t="shared" si="13"/>
        <v>PV2: 6,67 x 2,55</v>
      </c>
      <c r="F67" s="259" t="str">
        <f t="shared" si="19"/>
        <v>ud</v>
      </c>
      <c r="G67" s="260">
        <f t="shared" si="20"/>
        <v>4</v>
      </c>
      <c r="H67" s="261">
        <f t="shared" si="21"/>
        <v>0</v>
      </c>
      <c r="I67" s="275">
        <f t="shared" si="6"/>
        <v>0</v>
      </c>
      <c r="J67" s="278">
        <f>+I67</f>
        <v>0</v>
      </c>
    </row>
    <row r="68" spans="2:10" ht="15.75" thickBot="1">
      <c r="B68" s="65" t="s">
        <v>1866</v>
      </c>
      <c r="C68" s="65" t="s">
        <v>1894</v>
      </c>
      <c r="D68" s="257">
        <f t="shared" si="14"/>
        <v>11.7</v>
      </c>
      <c r="E68" s="258" t="str">
        <f t="shared" si="13"/>
        <v>PV3: 7,86 x 2,25</v>
      </c>
      <c r="F68" s="259" t="str">
        <f t="shared" si="19"/>
        <v>ud</v>
      </c>
      <c r="G68" s="260">
        <f t="shared" si="20"/>
        <v>4</v>
      </c>
      <c r="H68" s="261">
        <f t="shared" si="21"/>
        <v>0</v>
      </c>
      <c r="I68" s="275">
        <f t="shared" si="6"/>
        <v>0</v>
      </c>
      <c r="J68" s="278">
        <f t="shared" ref="J68:J78" si="22">+I68</f>
        <v>0</v>
      </c>
    </row>
    <row r="69" spans="2:10" ht="15.75" thickBot="1">
      <c r="B69" s="65" t="s">
        <v>1867</v>
      </c>
      <c r="C69" s="65" t="s">
        <v>1895</v>
      </c>
      <c r="D69" s="257">
        <f t="shared" si="14"/>
        <v>11.8</v>
      </c>
      <c r="E69" s="258" t="str">
        <f t="shared" si="13"/>
        <v>PV4: 3,60 x 2,55</v>
      </c>
      <c r="F69" s="259" t="str">
        <f t="shared" si="19"/>
        <v>ud</v>
      </c>
      <c r="G69" s="260">
        <f t="shared" si="20"/>
        <v>3</v>
      </c>
      <c r="H69" s="261">
        <f t="shared" si="21"/>
        <v>0</v>
      </c>
      <c r="I69" s="275">
        <f t="shared" si="6"/>
        <v>0</v>
      </c>
      <c r="J69" s="278">
        <f t="shared" si="22"/>
        <v>0</v>
      </c>
    </row>
    <row r="70" spans="2:10" ht="15.75" thickBot="1">
      <c r="B70" s="65" t="s">
        <v>1868</v>
      </c>
      <c r="C70" s="65" t="s">
        <v>1896</v>
      </c>
      <c r="D70" s="257">
        <f t="shared" si="14"/>
        <v>11.9</v>
      </c>
      <c r="E70" s="258" t="str">
        <f t="shared" si="13"/>
        <v>PV5: 3,50 x 2,55</v>
      </c>
      <c r="F70" s="259" t="str">
        <f t="shared" si="19"/>
        <v>ud</v>
      </c>
      <c r="G70" s="260">
        <f t="shared" si="20"/>
        <v>3</v>
      </c>
      <c r="H70" s="261">
        <f t="shared" si="21"/>
        <v>0</v>
      </c>
      <c r="I70" s="275">
        <f t="shared" si="6"/>
        <v>0</v>
      </c>
      <c r="J70" s="278">
        <f t="shared" si="22"/>
        <v>0</v>
      </c>
    </row>
    <row r="71" spans="2:10" ht="15.75" thickBot="1">
      <c r="B71" s="65" t="s">
        <v>1869</v>
      </c>
      <c r="C71" s="65" t="s">
        <v>1897</v>
      </c>
      <c r="D71" s="257">
        <f t="shared" si="14"/>
        <v>11.1</v>
      </c>
      <c r="E71" s="258" t="str">
        <f t="shared" si="13"/>
        <v>B1: 6,73 x 0,60</v>
      </c>
      <c r="F71" s="259" t="str">
        <f t="shared" si="19"/>
        <v>ud</v>
      </c>
      <c r="G71" s="260">
        <f t="shared" si="20"/>
        <v>14</v>
      </c>
      <c r="H71" s="261">
        <f t="shared" si="21"/>
        <v>0</v>
      </c>
      <c r="I71" s="275">
        <f t="shared" si="6"/>
        <v>0</v>
      </c>
      <c r="J71" s="278">
        <f t="shared" si="22"/>
        <v>0</v>
      </c>
    </row>
    <row r="72" spans="2:10" ht="15.75" thickBot="1">
      <c r="B72" s="65" t="s">
        <v>1870</v>
      </c>
      <c r="C72" s="65" t="s">
        <v>1898</v>
      </c>
      <c r="D72" s="257">
        <f t="shared" si="14"/>
        <v>11.11</v>
      </c>
      <c r="E72" s="281" t="str">
        <f t="shared" si="13"/>
        <v>B2: 7,87 x 0,45</v>
      </c>
      <c r="F72" s="259" t="str">
        <f t="shared" si="19"/>
        <v>ud</v>
      </c>
      <c r="G72" s="260">
        <f t="shared" si="20"/>
        <v>1</v>
      </c>
      <c r="H72" s="261">
        <f t="shared" si="21"/>
        <v>0</v>
      </c>
      <c r="I72" s="275">
        <f t="shared" si="6"/>
        <v>0</v>
      </c>
      <c r="J72" s="278">
        <f t="shared" si="22"/>
        <v>0</v>
      </c>
    </row>
    <row r="73" spans="2:10" ht="15.75" thickBot="1">
      <c r="B73" s="65" t="s">
        <v>1878</v>
      </c>
      <c r="C73" s="65" t="s">
        <v>1899</v>
      </c>
      <c r="D73" s="257">
        <f t="shared" si="14"/>
        <v>11.12</v>
      </c>
      <c r="E73" s="281" t="str">
        <f t="shared" si="13"/>
        <v>Estructura metalica para pergola</v>
      </c>
      <c r="F73" s="259" t="str">
        <f t="shared" si="19"/>
        <v>m2</v>
      </c>
      <c r="G73" s="260">
        <f t="shared" si="20"/>
        <v>87.5</v>
      </c>
      <c r="H73" s="261">
        <f t="shared" si="21"/>
        <v>0</v>
      </c>
      <c r="I73" s="275">
        <f>+H73*G73</f>
        <v>0</v>
      </c>
      <c r="J73" s="278">
        <f t="shared" si="22"/>
        <v>0</v>
      </c>
    </row>
    <row r="74" spans="2:10" ht="15.75" thickBot="1">
      <c r="B74" s="65" t="s">
        <v>1879</v>
      </c>
      <c r="C74" s="65" t="s">
        <v>1900</v>
      </c>
      <c r="D74" s="257" t="str">
        <f t="shared" si="14"/>
        <v>RUBRO XII:</v>
      </c>
      <c r="E74" s="281" t="str">
        <f t="shared" si="13"/>
        <v>INSTALACIÓN ELÉCTRICA</v>
      </c>
      <c r="F74" s="259">
        <f t="shared" si="19"/>
        <v>0</v>
      </c>
      <c r="G74" s="260">
        <f t="shared" si="20"/>
        <v>0</v>
      </c>
      <c r="H74" s="261">
        <f t="shared" si="21"/>
        <v>0</v>
      </c>
      <c r="I74" s="275">
        <f t="shared" si="6"/>
        <v>0</v>
      </c>
      <c r="J74" s="278">
        <f t="shared" si="22"/>
        <v>0</v>
      </c>
    </row>
    <row r="75" spans="2:10" ht="15.75" thickBot="1">
      <c r="B75" s="65" t="s">
        <v>1880</v>
      </c>
      <c r="C75" s="65" t="s">
        <v>1901</v>
      </c>
      <c r="D75" s="257">
        <f t="shared" si="14"/>
        <v>12.1</v>
      </c>
      <c r="E75" s="281" t="str">
        <f t="shared" si="13"/>
        <v>Colocacion de bocas , tendido de cañerias y conductores</v>
      </c>
      <c r="F75" s="259" t="str">
        <f t="shared" si="19"/>
        <v>ud</v>
      </c>
      <c r="G75" s="260">
        <f t="shared" si="20"/>
        <v>1</v>
      </c>
      <c r="H75" s="261">
        <f t="shared" si="21"/>
        <v>0</v>
      </c>
      <c r="I75" s="275">
        <f t="shared" si="6"/>
        <v>0</v>
      </c>
      <c r="J75" s="278">
        <f t="shared" si="22"/>
        <v>0</v>
      </c>
    </row>
    <row r="76" spans="2:10" ht="15.75" thickBot="1">
      <c r="B76" s="65" t="s">
        <v>1891</v>
      </c>
      <c r="C76" s="65" t="s">
        <v>1902</v>
      </c>
      <c r="D76" s="257">
        <f t="shared" si="14"/>
        <v>12.2</v>
      </c>
      <c r="E76" s="281" t="str">
        <f t="shared" si="13"/>
        <v>Medidor trifasico, pilastra y tablero de entrada</v>
      </c>
      <c r="F76" s="259" t="str">
        <f t="shared" si="19"/>
        <v>gl</v>
      </c>
      <c r="G76" s="260">
        <f t="shared" si="20"/>
        <v>1</v>
      </c>
      <c r="H76" s="261">
        <f t="shared" si="21"/>
        <v>0</v>
      </c>
      <c r="I76" s="275">
        <f t="shared" si="6"/>
        <v>0</v>
      </c>
      <c r="J76" s="278">
        <f t="shared" si="22"/>
        <v>0</v>
      </c>
    </row>
    <row r="77" spans="2:10" ht="15.75" thickBot="1">
      <c r="B77" s="65" t="s">
        <v>1892</v>
      </c>
      <c r="C77" s="65" t="s">
        <v>1903</v>
      </c>
      <c r="D77" s="257" t="str">
        <f t="shared" si="14"/>
        <v>RUBRO XIII:</v>
      </c>
      <c r="E77" s="281" t="str">
        <f t="shared" si="13"/>
        <v>INSTALACIÓN SANITARIA</v>
      </c>
      <c r="F77" s="259">
        <f t="shared" si="19"/>
        <v>0</v>
      </c>
      <c r="G77" s="260">
        <f t="shared" si="20"/>
        <v>0</v>
      </c>
      <c r="H77" s="261">
        <f t="shared" si="21"/>
        <v>0</v>
      </c>
      <c r="I77" s="275">
        <f t="shared" si="6"/>
        <v>0</v>
      </c>
      <c r="J77" s="278">
        <f t="shared" si="22"/>
        <v>0</v>
      </c>
    </row>
    <row r="78" spans="2:10" ht="15.75" thickBot="1">
      <c r="B78" s="65" t="s">
        <v>1871</v>
      </c>
      <c r="C78" s="65" t="s">
        <v>1924</v>
      </c>
      <c r="D78" s="262">
        <f t="shared" si="14"/>
        <v>13.1</v>
      </c>
      <c r="E78" s="263" t="str">
        <f t="shared" si="13"/>
        <v>Cañerias Agua y Desagüe</v>
      </c>
      <c r="F78" s="264" t="str">
        <f t="shared" si="19"/>
        <v>ud</v>
      </c>
      <c r="G78" s="260">
        <f t="shared" si="20"/>
        <v>1</v>
      </c>
      <c r="H78" s="261">
        <f t="shared" si="21"/>
        <v>0</v>
      </c>
      <c r="I78" s="275">
        <f t="shared" si="6"/>
        <v>0</v>
      </c>
      <c r="J78" s="278">
        <f t="shared" si="22"/>
        <v>0</v>
      </c>
    </row>
    <row r="79" spans="2:10">
      <c r="F79" s="78"/>
      <c r="G79" s="134"/>
    </row>
    <row r="80" spans="2:10">
      <c r="D80" s="112" t="s">
        <v>1664</v>
      </c>
      <c r="E80" s="175" t="s">
        <v>1662</v>
      </c>
      <c r="F80" s="172"/>
      <c r="G80" s="173"/>
      <c r="H80" s="174"/>
      <c r="I80" s="176"/>
      <c r="J80" s="177">
        <f>SUM(J13:J78)</f>
        <v>0</v>
      </c>
    </row>
    <row r="81" spans="4:12">
      <c r="D81" s="112" t="s">
        <v>1665</v>
      </c>
      <c r="E81" s="175" t="s">
        <v>1663</v>
      </c>
      <c r="F81" s="172"/>
      <c r="G81" s="173"/>
      <c r="H81" s="174"/>
      <c r="I81" s="178">
        <f>+GG!D104</f>
        <v>0.27350000000000002</v>
      </c>
      <c r="J81" s="177">
        <f>+J80*I81</f>
        <v>0</v>
      </c>
    </row>
    <row r="82" spans="4:12">
      <c r="D82" s="112" t="s">
        <v>1666</v>
      </c>
      <c r="E82" s="175" t="s">
        <v>1674</v>
      </c>
      <c r="F82" s="172"/>
      <c r="G82" s="173"/>
      <c r="H82" s="174"/>
      <c r="I82" s="178"/>
      <c r="J82" s="177">
        <f>+J81+J80</f>
        <v>0</v>
      </c>
    </row>
    <row r="83" spans="4:12">
      <c r="D83" s="112" t="s">
        <v>1667</v>
      </c>
      <c r="E83" s="175" t="s">
        <v>1669</v>
      </c>
      <c r="F83" s="172"/>
      <c r="G83" s="173"/>
      <c r="H83" s="174"/>
      <c r="I83" s="178">
        <v>0.1</v>
      </c>
      <c r="J83" s="177">
        <f>+J82*I83</f>
        <v>0</v>
      </c>
      <c r="L83" s="64"/>
    </row>
    <row r="84" spans="4:12">
      <c r="D84" s="112" t="s">
        <v>1668</v>
      </c>
      <c r="E84" s="175" t="s">
        <v>1673</v>
      </c>
      <c r="F84" s="172"/>
      <c r="G84" s="173"/>
      <c r="H84" s="174"/>
      <c r="I84" s="176"/>
      <c r="J84" s="179">
        <f>SUM(J82:J83)</f>
        <v>0</v>
      </c>
    </row>
    <row r="85" spans="4:12">
      <c r="D85" s="112" t="s">
        <v>1671</v>
      </c>
      <c r="E85" s="175" t="s">
        <v>1670</v>
      </c>
      <c r="F85" s="172"/>
      <c r="G85" s="173"/>
      <c r="H85" s="174"/>
      <c r="I85" s="178">
        <v>0.23400000000000001</v>
      </c>
      <c r="J85" s="180">
        <f>+I85*J84</f>
        <v>0</v>
      </c>
    </row>
    <row r="86" spans="4:12">
      <c r="E86" s="175" t="s">
        <v>1672</v>
      </c>
      <c r="F86" s="172"/>
      <c r="G86" s="173"/>
      <c r="H86" s="174"/>
      <c r="I86" s="176"/>
      <c r="J86" s="179">
        <f>+J84+J85</f>
        <v>0</v>
      </c>
    </row>
    <row r="88" spans="4:12">
      <c r="L88" s="193" t="e">
        <f>+J86/J80/1.105</f>
        <v>#DIV/0!</v>
      </c>
    </row>
    <row r="89" spans="4:12">
      <c r="J89" s="68">
        <v>3310000</v>
      </c>
    </row>
    <row r="90" spans="4:12">
      <c r="J90" s="113"/>
    </row>
    <row r="91" spans="4:12">
      <c r="J91" s="284">
        <f>+J86/J89-1</f>
        <v>-1</v>
      </c>
    </row>
  </sheetData>
  <mergeCells count="6">
    <mergeCell ref="E4:I4"/>
    <mergeCell ref="E9:I9"/>
    <mergeCell ref="E5:I5"/>
    <mergeCell ref="E6:I6"/>
    <mergeCell ref="E7:I7"/>
    <mergeCell ref="E8:I8"/>
  </mergeCells>
  <phoneticPr fontId="0" type="noConversion"/>
  <pageMargins left="0.31" right="0.28999999999999998" top="0.46" bottom="0.39" header="0.31496062992125984" footer="0.31496062992125984"/>
  <pageSetup paperSize="9" scale="6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5"/>
  <sheetViews>
    <sheetView workbookViewId="0">
      <selection activeCell="C3" sqref="C3"/>
    </sheetView>
  </sheetViews>
  <sheetFormatPr baseColWidth="10" defaultRowHeight="15"/>
  <cols>
    <col min="2" max="2" width="7.140625" style="331" customWidth="1"/>
    <col min="3" max="3" width="39.42578125" style="331" customWidth="1"/>
    <col min="4" max="4" width="6.42578125" bestFit="1" customWidth="1"/>
    <col min="5" max="5" width="8.5703125" customWidth="1"/>
    <col min="6" max="6" width="9.85546875" customWidth="1"/>
    <col min="7" max="7" width="10.28515625" bestFit="1" customWidth="1"/>
    <col min="8" max="9" width="10.42578125" bestFit="1" customWidth="1"/>
  </cols>
  <sheetData>
    <row r="2" spans="2:9">
      <c r="B2" s="330" t="s">
        <v>2181</v>
      </c>
    </row>
    <row r="3" spans="2:9">
      <c r="C3" s="330" t="s">
        <v>2182</v>
      </c>
    </row>
    <row r="4" spans="2:9">
      <c r="C4" s="330" t="s">
        <v>2183</v>
      </c>
    </row>
    <row r="5" spans="2:9">
      <c r="C5" s="330" t="s">
        <v>2184</v>
      </c>
    </row>
    <row r="6" spans="2:9">
      <c r="B6" s="330" t="s">
        <v>2185</v>
      </c>
      <c r="C6" s="330" t="s">
        <v>1991</v>
      </c>
      <c r="D6" s="332" t="s">
        <v>24</v>
      </c>
      <c r="E6" s="332" t="s">
        <v>65</v>
      </c>
      <c r="F6" s="332" t="s">
        <v>2186</v>
      </c>
      <c r="G6" s="332" t="s">
        <v>2187</v>
      </c>
      <c r="H6" s="332" t="s">
        <v>2188</v>
      </c>
      <c r="I6" s="332" t="s">
        <v>2188</v>
      </c>
    </row>
    <row r="7" spans="2:9">
      <c r="F7" s="332" t="s">
        <v>2189</v>
      </c>
      <c r="H7" s="332" t="s">
        <v>2190</v>
      </c>
      <c r="I7" s="332" t="s">
        <v>2190</v>
      </c>
    </row>
    <row r="8" spans="2:9">
      <c r="B8" s="330" t="s">
        <v>2191</v>
      </c>
    </row>
    <row r="9" spans="2:9">
      <c r="B9" s="333">
        <v>1.1000000000000001</v>
      </c>
      <c r="C9" s="330" t="s">
        <v>2192</v>
      </c>
      <c r="D9" s="332" t="s">
        <v>521</v>
      </c>
    </row>
    <row r="10" spans="2:9">
      <c r="B10" s="333">
        <v>1.2</v>
      </c>
      <c r="C10" s="330" t="s">
        <v>2193</v>
      </c>
      <c r="D10" s="332" t="s">
        <v>2194</v>
      </c>
    </row>
    <row r="11" spans="2:9">
      <c r="B11" s="333">
        <v>1.3</v>
      </c>
      <c r="C11" s="330" t="s">
        <v>2195</v>
      </c>
      <c r="D11" s="332" t="s">
        <v>2194</v>
      </c>
    </row>
    <row r="12" spans="2:9">
      <c r="B12" s="333">
        <v>1.4</v>
      </c>
      <c r="C12" s="330" t="s">
        <v>2196</v>
      </c>
      <c r="D12" s="332" t="s">
        <v>2194</v>
      </c>
    </row>
    <row r="13" spans="2:9">
      <c r="B13" s="333">
        <v>1.5</v>
      </c>
      <c r="C13" s="330" t="s">
        <v>2197</v>
      </c>
      <c r="D13" s="332" t="s">
        <v>2194</v>
      </c>
    </row>
    <row r="14" spans="2:9">
      <c r="B14" s="330" t="s">
        <v>2198</v>
      </c>
    </row>
    <row r="15" spans="2:9">
      <c r="B15" s="333">
        <v>2.1</v>
      </c>
      <c r="C15" s="330" t="s">
        <v>2199</v>
      </c>
      <c r="D15" s="332" t="s">
        <v>515</v>
      </c>
    </row>
    <row r="16" spans="2:9">
      <c r="B16" s="333">
        <v>2.2000000000000002</v>
      </c>
      <c r="C16" s="330" t="s">
        <v>2200</v>
      </c>
      <c r="D16" s="332" t="s">
        <v>515</v>
      </c>
    </row>
    <row r="17" spans="2:4">
      <c r="B17" s="330" t="s">
        <v>2201</v>
      </c>
    </row>
    <row r="18" spans="2:4">
      <c r="B18" s="333">
        <v>3.1</v>
      </c>
      <c r="C18" s="330" t="s">
        <v>739</v>
      </c>
      <c r="D18" s="332" t="s">
        <v>515</v>
      </c>
    </row>
    <row r="19" spans="2:4">
      <c r="B19" s="333">
        <v>3.2</v>
      </c>
      <c r="C19" s="330" t="s">
        <v>2202</v>
      </c>
      <c r="D19" s="332" t="s">
        <v>515</v>
      </c>
    </row>
    <row r="20" spans="2:4">
      <c r="B20" s="333">
        <v>3.3</v>
      </c>
      <c r="C20" s="330" t="s">
        <v>2203</v>
      </c>
      <c r="D20" s="332" t="s">
        <v>515</v>
      </c>
    </row>
    <row r="21" spans="2:4">
      <c r="B21" s="333">
        <v>3.4</v>
      </c>
      <c r="C21" s="330" t="s">
        <v>2204</v>
      </c>
      <c r="D21" s="332" t="s">
        <v>515</v>
      </c>
    </row>
    <row r="22" spans="2:4">
      <c r="B22" s="333">
        <v>3.5</v>
      </c>
      <c r="C22" s="330" t="s">
        <v>755</v>
      </c>
      <c r="D22" s="332" t="s">
        <v>515</v>
      </c>
    </row>
    <row r="23" spans="2:4">
      <c r="B23" s="333">
        <v>3.6</v>
      </c>
      <c r="C23" s="330" t="s">
        <v>2167</v>
      </c>
      <c r="D23" s="332" t="s">
        <v>515</v>
      </c>
    </row>
    <row r="24" spans="2:4">
      <c r="B24" s="333">
        <v>3.7</v>
      </c>
      <c r="C24" s="330" t="s">
        <v>2205</v>
      </c>
      <c r="D24" s="332" t="s">
        <v>515</v>
      </c>
    </row>
    <row r="25" spans="2:4">
      <c r="B25" s="333">
        <v>3.8</v>
      </c>
      <c r="C25" s="330" t="s">
        <v>751</v>
      </c>
      <c r="D25" s="332" t="s">
        <v>515</v>
      </c>
    </row>
    <row r="26" spans="2:4">
      <c r="B26" s="333">
        <v>3.9</v>
      </c>
      <c r="C26" s="330" t="s">
        <v>2206</v>
      </c>
      <c r="D26" s="332" t="s">
        <v>515</v>
      </c>
    </row>
    <row r="27" spans="2:4">
      <c r="B27" s="330" t="s">
        <v>2207</v>
      </c>
    </row>
    <row r="28" spans="2:4">
      <c r="B28" s="333">
        <v>4.0999999999999996</v>
      </c>
      <c r="C28" s="330" t="s">
        <v>2208</v>
      </c>
      <c r="D28" s="332" t="s">
        <v>521</v>
      </c>
    </row>
    <row r="29" spans="2:4">
      <c r="B29" s="333">
        <v>4.2</v>
      </c>
      <c r="C29" s="330" t="s">
        <v>2209</v>
      </c>
      <c r="D29" s="332" t="s">
        <v>521</v>
      </c>
    </row>
    <row r="30" spans="2:4">
      <c r="B30" s="333">
        <v>4.3</v>
      </c>
      <c r="C30" s="330" t="s">
        <v>2210</v>
      </c>
      <c r="D30" s="332" t="s">
        <v>521</v>
      </c>
    </row>
    <row r="31" spans="2:4">
      <c r="B31" s="333">
        <v>4.4000000000000004</v>
      </c>
      <c r="C31" s="330" t="s">
        <v>2211</v>
      </c>
      <c r="D31" s="332" t="s">
        <v>521</v>
      </c>
    </row>
    <row r="32" spans="2:4">
      <c r="B32" s="333">
        <v>4.5</v>
      </c>
      <c r="C32" s="330" t="s">
        <v>2212</v>
      </c>
      <c r="D32" s="332" t="s">
        <v>521</v>
      </c>
    </row>
    <row r="33" spans="2:4">
      <c r="B33" s="333">
        <v>4.5999999999999996</v>
      </c>
      <c r="C33" s="330" t="s">
        <v>2213</v>
      </c>
      <c r="D33" s="332" t="s">
        <v>521</v>
      </c>
    </row>
    <row r="34" spans="2:4">
      <c r="B34" s="330" t="s">
        <v>2214</v>
      </c>
    </row>
    <row r="35" spans="2:4">
      <c r="B35" s="333">
        <v>5.0999999999999996</v>
      </c>
      <c r="C35" s="330" t="s">
        <v>2215</v>
      </c>
      <c r="D35" s="332" t="s">
        <v>521</v>
      </c>
    </row>
    <row r="36" spans="2:4">
      <c r="B36" s="333">
        <v>5.2</v>
      </c>
      <c r="C36" s="330" t="s">
        <v>2216</v>
      </c>
      <c r="D36" s="332" t="s">
        <v>521</v>
      </c>
    </row>
    <row r="37" spans="2:4">
      <c r="B37" s="333">
        <v>5.3</v>
      </c>
      <c r="C37" s="330" t="s">
        <v>2217</v>
      </c>
      <c r="D37" s="332" t="s">
        <v>521</v>
      </c>
    </row>
    <row r="38" spans="2:4">
      <c r="B38" s="333">
        <v>5.4</v>
      </c>
      <c r="C38" s="330" t="s">
        <v>2218</v>
      </c>
      <c r="D38" s="332" t="s">
        <v>521</v>
      </c>
    </row>
    <row r="39" spans="2:4">
      <c r="B39" s="330" t="s">
        <v>2219</v>
      </c>
    </row>
    <row r="40" spans="2:4">
      <c r="B40" s="330" t="s">
        <v>2220</v>
      </c>
    </row>
    <row r="41" spans="2:4">
      <c r="B41" s="333">
        <v>7.1</v>
      </c>
      <c r="C41" s="330" t="s">
        <v>2221</v>
      </c>
      <c r="D41" s="332" t="s">
        <v>521</v>
      </c>
    </row>
    <row r="42" spans="2:4">
      <c r="B42" s="333">
        <v>7.2</v>
      </c>
      <c r="C42" s="330" t="s">
        <v>2222</v>
      </c>
      <c r="D42" s="332" t="s">
        <v>521</v>
      </c>
    </row>
    <row r="43" spans="2:4">
      <c r="B43" s="333">
        <v>7.3</v>
      </c>
      <c r="C43" s="330" t="s">
        <v>2223</v>
      </c>
      <c r="D43" s="332" t="s">
        <v>521</v>
      </c>
    </row>
    <row r="44" spans="2:4">
      <c r="B44" s="333">
        <v>7.4</v>
      </c>
      <c r="C44" s="330" t="s">
        <v>2224</v>
      </c>
      <c r="D44" s="332" t="s">
        <v>521</v>
      </c>
    </row>
    <row r="45" spans="2:4">
      <c r="B45" s="333">
        <v>7.5</v>
      </c>
      <c r="C45" s="330" t="s">
        <v>2225</v>
      </c>
      <c r="D45" s="332" t="s">
        <v>521</v>
      </c>
    </row>
    <row r="46" spans="2:4">
      <c r="B46" s="333">
        <v>7.6</v>
      </c>
      <c r="C46" s="330" t="s">
        <v>2226</v>
      </c>
      <c r="D46" s="332" t="s">
        <v>521</v>
      </c>
    </row>
    <row r="47" spans="2:4">
      <c r="B47" s="333">
        <v>7.7</v>
      </c>
      <c r="C47" s="330" t="s">
        <v>2227</v>
      </c>
      <c r="D47" s="332" t="s">
        <v>521</v>
      </c>
    </row>
    <row r="48" spans="2:4">
      <c r="B48" s="330" t="s">
        <v>2228</v>
      </c>
    </row>
    <row r="49" spans="2:4">
      <c r="B49" s="333">
        <v>8.1</v>
      </c>
      <c r="C49" s="330" t="s">
        <v>2229</v>
      </c>
      <c r="D49" s="332" t="s">
        <v>521</v>
      </c>
    </row>
    <row r="50" spans="2:4">
      <c r="B50" s="330" t="s">
        <v>2230</v>
      </c>
    </row>
    <row r="51" spans="2:4">
      <c r="B51" s="333">
        <v>9.1</v>
      </c>
      <c r="C51" s="330" t="s">
        <v>2231</v>
      </c>
      <c r="D51" s="332" t="s">
        <v>521</v>
      </c>
    </row>
    <row r="52" spans="2:4">
      <c r="B52" s="330" t="s">
        <v>2232</v>
      </c>
    </row>
    <row r="53" spans="2:4">
      <c r="B53" s="333">
        <v>10.1</v>
      </c>
      <c r="C53" s="330" t="s">
        <v>2233</v>
      </c>
      <c r="D53" s="332" t="s">
        <v>2234</v>
      </c>
    </row>
    <row r="54" spans="2:4">
      <c r="B54" s="333">
        <v>10.199999999999999</v>
      </c>
      <c r="C54" s="330" t="s">
        <v>2235</v>
      </c>
      <c r="D54" s="332" t="s">
        <v>2234</v>
      </c>
    </row>
    <row r="55" spans="2:4">
      <c r="B55" s="333">
        <v>10.3</v>
      </c>
      <c r="C55" s="330" t="s">
        <v>2236</v>
      </c>
      <c r="D55" s="332" t="s">
        <v>2234</v>
      </c>
    </row>
    <row r="56" spans="2:4">
      <c r="B56" s="330" t="s">
        <v>2237</v>
      </c>
    </row>
    <row r="57" spans="2:4">
      <c r="B57" s="333">
        <v>11.1</v>
      </c>
      <c r="C57" s="330" t="s">
        <v>2238</v>
      </c>
      <c r="D57" s="332" t="s">
        <v>2234</v>
      </c>
    </row>
    <row r="58" spans="2:4">
      <c r="B58" s="333">
        <v>11.2</v>
      </c>
      <c r="C58" s="330" t="s">
        <v>2239</v>
      </c>
      <c r="D58" s="332" t="s">
        <v>2234</v>
      </c>
    </row>
    <row r="59" spans="2:4">
      <c r="B59" s="333">
        <v>11.3</v>
      </c>
      <c r="C59" s="330" t="s">
        <v>2240</v>
      </c>
      <c r="D59" s="332" t="s">
        <v>2234</v>
      </c>
    </row>
    <row r="60" spans="2:4">
      <c r="B60" s="333">
        <v>11.4</v>
      </c>
      <c r="C60" s="330" t="s">
        <v>2241</v>
      </c>
      <c r="D60" s="332" t="s">
        <v>2234</v>
      </c>
    </row>
    <row r="61" spans="2:4">
      <c r="B61" s="333">
        <v>11.5</v>
      </c>
      <c r="C61" s="330" t="s">
        <v>2242</v>
      </c>
      <c r="D61" s="332" t="s">
        <v>2234</v>
      </c>
    </row>
    <row r="62" spans="2:4">
      <c r="B62" s="333">
        <v>11.6</v>
      </c>
      <c r="C62" s="330" t="s">
        <v>2243</v>
      </c>
      <c r="D62" s="332" t="s">
        <v>2234</v>
      </c>
    </row>
    <row r="64" spans="2:4">
      <c r="B64" s="333">
        <v>11.7</v>
      </c>
      <c r="C64" s="330" t="s">
        <v>2244</v>
      </c>
      <c r="D64" s="332" t="s">
        <v>2234</v>
      </c>
    </row>
    <row r="65" spans="2:4">
      <c r="B65" s="333">
        <v>11.8</v>
      </c>
      <c r="C65" s="330" t="s">
        <v>2245</v>
      </c>
      <c r="D65" s="332" t="s">
        <v>2234</v>
      </c>
    </row>
    <row r="66" spans="2:4">
      <c r="B66" s="333">
        <v>11.9</v>
      </c>
      <c r="C66" s="330" t="s">
        <v>2246</v>
      </c>
      <c r="D66" s="332" t="s">
        <v>2234</v>
      </c>
    </row>
    <row r="67" spans="2:4">
      <c r="B67" s="334">
        <v>11.1</v>
      </c>
      <c r="C67" s="330" t="s">
        <v>2247</v>
      </c>
      <c r="D67" s="332" t="s">
        <v>2234</v>
      </c>
    </row>
    <row r="68" spans="2:4">
      <c r="B68" s="333">
        <v>11.11</v>
      </c>
      <c r="C68" s="330" t="s">
        <v>2248</v>
      </c>
      <c r="D68" s="332" t="s">
        <v>2234</v>
      </c>
    </row>
    <row r="69" spans="2:4">
      <c r="B69" s="333">
        <v>11.12</v>
      </c>
      <c r="C69" s="330" t="s">
        <v>2249</v>
      </c>
      <c r="D69" s="332" t="s">
        <v>521</v>
      </c>
    </row>
    <row r="70" spans="2:4">
      <c r="B70" s="330" t="s">
        <v>2250</v>
      </c>
    </row>
    <row r="71" spans="2:4">
      <c r="B71" s="333">
        <v>12.1</v>
      </c>
      <c r="C71" s="330" t="s">
        <v>2251</v>
      </c>
      <c r="D71" s="332" t="s">
        <v>2234</v>
      </c>
    </row>
    <row r="72" spans="2:4">
      <c r="B72" s="333">
        <v>12.2</v>
      </c>
      <c r="C72" s="330" t="s">
        <v>2252</v>
      </c>
      <c r="D72" s="332" t="s">
        <v>2194</v>
      </c>
    </row>
    <row r="73" spans="2:4">
      <c r="B73" s="330" t="s">
        <v>2253</v>
      </c>
    </row>
    <row r="74" spans="2:4">
      <c r="B74" s="333">
        <v>13.1</v>
      </c>
      <c r="C74" s="330" t="s">
        <v>2254</v>
      </c>
      <c r="D74" s="332" t="s">
        <v>2234</v>
      </c>
    </row>
    <row r="75" spans="2:4">
      <c r="B75" s="333">
        <v>13.2</v>
      </c>
      <c r="C75" s="330" t="s">
        <v>2255</v>
      </c>
      <c r="D75" s="332" t="s">
        <v>2194</v>
      </c>
    </row>
    <row r="76" spans="2:4">
      <c r="B76" s="333">
        <v>13.3</v>
      </c>
      <c r="C76" s="330" t="s">
        <v>988</v>
      </c>
      <c r="D76" s="332" t="s">
        <v>2194</v>
      </c>
    </row>
    <row r="77" spans="2:4">
      <c r="B77" s="333">
        <v>13.4</v>
      </c>
      <c r="C77" s="330" t="s">
        <v>2256</v>
      </c>
      <c r="D77" s="332" t="s">
        <v>2194</v>
      </c>
    </row>
    <row r="78" spans="2:4">
      <c r="B78" s="333">
        <v>13.5</v>
      </c>
      <c r="C78" s="330" t="s">
        <v>2257</v>
      </c>
      <c r="D78" s="332" t="s">
        <v>2194</v>
      </c>
    </row>
    <row r="79" spans="2:4">
      <c r="B79" s="330" t="s">
        <v>2258</v>
      </c>
    </row>
    <row r="80" spans="2:4">
      <c r="B80" s="330" t="s">
        <v>2259</v>
      </c>
    </row>
    <row r="81" spans="2:4">
      <c r="B81" s="333">
        <v>15.1</v>
      </c>
      <c r="C81" s="330" t="s">
        <v>2260</v>
      </c>
      <c r="D81" s="332" t="s">
        <v>2234</v>
      </c>
    </row>
    <row r="82" spans="2:4">
      <c r="B82" s="333">
        <v>15.2</v>
      </c>
      <c r="C82" s="330" t="s">
        <v>2261</v>
      </c>
      <c r="D82" s="332" t="s">
        <v>2194</v>
      </c>
    </row>
    <row r="83" spans="2:4">
      <c r="B83" s="333">
        <v>15.3</v>
      </c>
      <c r="C83" s="330" t="s">
        <v>2262</v>
      </c>
      <c r="D83" s="332" t="s">
        <v>2194</v>
      </c>
    </row>
    <row r="84" spans="2:4">
      <c r="B84" s="330" t="s">
        <v>2263</v>
      </c>
    </row>
    <row r="85" spans="2:4">
      <c r="B85" s="330" t="s">
        <v>2264</v>
      </c>
    </row>
    <row r="86" spans="2:4">
      <c r="B86" s="330" t="s">
        <v>2265</v>
      </c>
    </row>
    <row r="87" spans="2:4">
      <c r="B87" s="333">
        <v>18.100000000000001</v>
      </c>
      <c r="C87" s="330" t="s">
        <v>2266</v>
      </c>
      <c r="D87" s="332" t="s">
        <v>521</v>
      </c>
    </row>
    <row r="88" spans="2:4">
      <c r="B88" s="333">
        <v>18.2</v>
      </c>
      <c r="C88" s="330" t="s">
        <v>2267</v>
      </c>
      <c r="D88" s="332" t="s">
        <v>521</v>
      </c>
    </row>
    <row r="89" spans="2:4">
      <c r="B89" s="333">
        <v>18.3</v>
      </c>
      <c r="C89" s="330" t="s">
        <v>2268</v>
      </c>
      <c r="D89" s="332" t="s">
        <v>521</v>
      </c>
    </row>
    <row r="90" spans="2:4">
      <c r="B90" s="333">
        <v>18.399999999999999</v>
      </c>
      <c r="C90" s="330" t="s">
        <v>2269</v>
      </c>
      <c r="D90" s="332" t="s">
        <v>521</v>
      </c>
    </row>
    <row r="91" spans="2:4">
      <c r="B91" s="330" t="s">
        <v>2270</v>
      </c>
    </row>
    <row r="92" spans="2:4">
      <c r="B92" s="330" t="s">
        <v>2271</v>
      </c>
    </row>
    <row r="93" spans="2:4">
      <c r="B93" s="333">
        <v>20.100000000000001</v>
      </c>
      <c r="C93" s="330" t="s">
        <v>2272</v>
      </c>
      <c r="D93" s="332" t="s">
        <v>2194</v>
      </c>
    </row>
    <row r="94" spans="2:4">
      <c r="B94" s="333">
        <v>20.2</v>
      </c>
      <c r="C94" s="330" t="s">
        <v>2273</v>
      </c>
      <c r="D94" s="332" t="s">
        <v>2194</v>
      </c>
    </row>
    <row r="95" spans="2:4">
      <c r="B95" s="330" t="s">
        <v>1714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171"/>
  <sheetViews>
    <sheetView topLeftCell="A4" zoomScaleNormal="100" workbookViewId="0">
      <selection activeCell="H32" sqref="H32"/>
    </sheetView>
  </sheetViews>
  <sheetFormatPr baseColWidth="10" defaultRowHeight="15"/>
  <cols>
    <col min="2" max="2" width="5.42578125" style="6" bestFit="1" customWidth="1"/>
    <col min="3" max="4" width="8.5703125" style="6" customWidth="1"/>
    <col min="5" max="5" width="10.5703125" style="2" bestFit="1" customWidth="1"/>
    <col min="6" max="6" width="49.7109375" customWidth="1"/>
    <col min="7" max="7" width="5.5703125" style="6" bestFit="1" customWidth="1"/>
    <col min="8" max="8" width="14.85546875" customWidth="1"/>
    <col min="9" max="9" width="3.85546875" customWidth="1"/>
  </cols>
  <sheetData>
    <row r="1" spans="2:16" ht="39.950000000000003" customHeight="1">
      <c r="B1" s="588" t="s">
        <v>102</v>
      </c>
      <c r="C1" s="588"/>
      <c r="D1" s="588"/>
      <c r="E1" s="588"/>
      <c r="F1" s="588"/>
      <c r="G1" s="588"/>
    </row>
    <row r="2" spans="2:16" ht="30">
      <c r="B2" s="4" t="s">
        <v>65</v>
      </c>
      <c r="C2" s="4" t="s">
        <v>23</v>
      </c>
      <c r="D2" s="4"/>
      <c r="E2" s="63" t="s">
        <v>103</v>
      </c>
      <c r="F2" s="3" t="s">
        <v>104</v>
      </c>
      <c r="G2" s="3" t="s">
        <v>24</v>
      </c>
      <c r="H2" s="3" t="s">
        <v>1159</v>
      </c>
      <c r="I2" s="3"/>
      <c r="J2" s="3" t="s">
        <v>1160</v>
      </c>
      <c r="K2" s="194"/>
      <c r="L2" s="194"/>
    </row>
    <row r="3" spans="2:16">
      <c r="B3" s="31">
        <v>1</v>
      </c>
      <c r="C3" s="106" t="s">
        <v>105</v>
      </c>
      <c r="D3" s="254"/>
      <c r="F3" t="s">
        <v>115</v>
      </c>
    </row>
    <row r="4" spans="2:16">
      <c r="B4" s="31">
        <v>2</v>
      </c>
      <c r="C4" s="32" t="s">
        <v>106</v>
      </c>
      <c r="D4" s="254"/>
      <c r="F4" t="s">
        <v>2293</v>
      </c>
    </row>
    <row r="5" spans="2:16">
      <c r="B5" s="31">
        <v>3</v>
      </c>
      <c r="C5" s="106" t="s">
        <v>107</v>
      </c>
      <c r="D5" s="254"/>
      <c r="F5" t="s">
        <v>2297</v>
      </c>
    </row>
    <row r="6" spans="2:16">
      <c r="B6" s="31">
        <v>4</v>
      </c>
      <c r="C6" s="106" t="s">
        <v>108</v>
      </c>
      <c r="D6" s="254"/>
      <c r="F6" t="s">
        <v>2294</v>
      </c>
    </row>
    <row r="7" spans="2:16">
      <c r="B7" s="196">
        <v>5</v>
      </c>
      <c r="C7" s="32" t="s">
        <v>109</v>
      </c>
      <c r="D7" s="254"/>
      <c r="F7" t="s">
        <v>2296</v>
      </c>
    </row>
    <row r="8" spans="2:16">
      <c r="B8" s="196">
        <v>9</v>
      </c>
      <c r="C8" s="106" t="s">
        <v>1252</v>
      </c>
      <c r="D8" s="254"/>
      <c r="F8" t="s">
        <v>1156</v>
      </c>
    </row>
    <row r="9" spans="2:16">
      <c r="B9" s="196">
        <v>10</v>
      </c>
      <c r="C9" s="106" t="s">
        <v>110</v>
      </c>
      <c r="D9" s="254"/>
      <c r="F9" t="s">
        <v>1157</v>
      </c>
    </row>
    <row r="10" spans="2:16">
      <c r="B10" s="196">
        <v>11</v>
      </c>
      <c r="C10" s="32" t="s">
        <v>111</v>
      </c>
      <c r="D10" s="254"/>
      <c r="F10" t="s">
        <v>1155</v>
      </c>
    </row>
    <row r="11" spans="2:16">
      <c r="B11" s="196">
        <v>12</v>
      </c>
      <c r="C11" s="106" t="s">
        <v>112</v>
      </c>
      <c r="D11" s="254"/>
      <c r="F11" t="s">
        <v>2295</v>
      </c>
    </row>
    <row r="12" spans="2:16">
      <c r="B12" s="196">
        <v>13</v>
      </c>
      <c r="C12" s="106" t="s">
        <v>113</v>
      </c>
      <c r="D12" s="254"/>
    </row>
    <row r="13" spans="2:16">
      <c r="B13" s="196">
        <v>19</v>
      </c>
      <c r="C13" s="106" t="s">
        <v>2169</v>
      </c>
      <c r="D13" s="254"/>
      <c r="E13" s="340" t="s">
        <v>116</v>
      </c>
      <c r="F13" s="107" t="s">
        <v>116</v>
      </c>
      <c r="G13" s="108" t="s">
        <v>116</v>
      </c>
      <c r="H13" s="195" t="s">
        <v>1714</v>
      </c>
      <c r="I13" s="247"/>
      <c r="J13" s="312"/>
      <c r="K13" s="589"/>
      <c r="L13" s="589"/>
      <c r="M13" s="589"/>
      <c r="N13" s="589"/>
      <c r="O13" s="589"/>
      <c r="P13" s="590"/>
    </row>
    <row r="14" spans="2:16">
      <c r="B14" s="196">
        <v>21</v>
      </c>
      <c r="C14" s="106" t="s">
        <v>114</v>
      </c>
      <c r="D14" s="106"/>
      <c r="E14" s="342" t="s">
        <v>2275</v>
      </c>
      <c r="F14" s="335" t="s">
        <v>2274</v>
      </c>
      <c r="G14" s="305"/>
      <c r="H14" s="324"/>
      <c r="I14" s="248"/>
      <c r="J14" s="197"/>
      <c r="K14" s="197"/>
      <c r="L14" s="197"/>
      <c r="M14" s="197"/>
      <c r="N14" s="197"/>
      <c r="O14" s="197"/>
      <c r="P14" s="197"/>
    </row>
    <row r="15" spans="2:16">
      <c r="B15" s="196">
        <v>22</v>
      </c>
      <c r="C15" s="106" t="s">
        <v>1162</v>
      </c>
      <c r="D15" s="106">
        <v>1</v>
      </c>
      <c r="E15" s="341">
        <v>1.1000000000000001</v>
      </c>
      <c r="F15" s="304" t="s">
        <v>2192</v>
      </c>
      <c r="G15" s="305" t="s">
        <v>521</v>
      </c>
      <c r="H15" s="324">
        <f>SUM(J15:P15)</f>
        <v>1036.8</v>
      </c>
      <c r="I15" s="248"/>
      <c r="J15" s="377">
        <v>1036.8</v>
      </c>
      <c r="K15" s="283"/>
      <c r="L15" s="283"/>
      <c r="M15" s="283"/>
      <c r="N15" s="197"/>
      <c r="O15" s="197"/>
      <c r="P15" s="197"/>
    </row>
    <row r="16" spans="2:16">
      <c r="B16" s="303">
        <v>23</v>
      </c>
      <c r="C16" s="106" t="s">
        <v>1163</v>
      </c>
      <c r="D16" s="32">
        <v>2</v>
      </c>
      <c r="E16" s="341">
        <v>1.2</v>
      </c>
      <c r="F16" s="304" t="s">
        <v>2193</v>
      </c>
      <c r="G16" s="336" t="s">
        <v>94</v>
      </c>
      <c r="H16" s="324">
        <f t="shared" ref="H16:H79" si="0">SUM(J16:P16)</f>
        <v>1</v>
      </c>
      <c r="I16" s="248"/>
      <c r="J16" s="197">
        <v>1</v>
      </c>
      <c r="K16" s="197"/>
      <c r="L16" s="197"/>
      <c r="M16" s="197"/>
      <c r="N16" s="197"/>
      <c r="O16" s="197"/>
      <c r="P16" s="197"/>
    </row>
    <row r="17" spans="2:23">
      <c r="B17" s="303">
        <v>24</v>
      </c>
      <c r="C17" s="106" t="s">
        <v>1164</v>
      </c>
      <c r="D17" s="106">
        <v>3</v>
      </c>
      <c r="E17" s="337">
        <v>1.3</v>
      </c>
      <c r="F17" s="304" t="s">
        <v>2195</v>
      </c>
      <c r="G17" s="305" t="s">
        <v>94</v>
      </c>
      <c r="H17" s="324">
        <f t="shared" si="0"/>
        <v>1</v>
      </c>
      <c r="I17" s="248"/>
      <c r="J17" s="197">
        <v>1</v>
      </c>
      <c r="K17" s="197"/>
      <c r="L17" s="197"/>
      <c r="M17" s="197"/>
      <c r="N17" s="197"/>
      <c r="O17" s="197"/>
      <c r="P17" s="197"/>
    </row>
    <row r="18" spans="2:23">
      <c r="B18" s="303">
        <v>25</v>
      </c>
      <c r="C18" s="106" t="s">
        <v>1165</v>
      </c>
      <c r="D18" s="106">
        <v>4</v>
      </c>
      <c r="E18" s="337">
        <v>1.4</v>
      </c>
      <c r="F18" s="304" t="s">
        <v>2196</v>
      </c>
      <c r="G18" s="336" t="s">
        <v>94</v>
      </c>
      <c r="H18" s="324">
        <f t="shared" si="0"/>
        <v>1</v>
      </c>
      <c r="I18" s="248"/>
      <c r="J18" s="197">
        <v>1</v>
      </c>
      <c r="K18" s="197"/>
      <c r="L18" s="197"/>
      <c r="M18" s="197"/>
      <c r="N18" s="197"/>
      <c r="O18" s="197"/>
      <c r="P18" s="197"/>
    </row>
    <row r="19" spans="2:23">
      <c r="B19" s="303">
        <v>26</v>
      </c>
      <c r="C19" s="106" t="s">
        <v>1166</v>
      </c>
      <c r="D19" s="32">
        <v>5</v>
      </c>
      <c r="E19" s="337">
        <v>1.5</v>
      </c>
      <c r="F19" s="304" t="s">
        <v>2197</v>
      </c>
      <c r="G19" s="305" t="s">
        <v>94</v>
      </c>
      <c r="H19" s="324">
        <f t="shared" si="0"/>
        <v>1</v>
      </c>
      <c r="I19" s="248"/>
      <c r="J19" s="197">
        <v>1</v>
      </c>
      <c r="K19" s="197"/>
      <c r="L19" s="197"/>
      <c r="M19" s="197"/>
      <c r="N19" s="197"/>
      <c r="O19" s="197"/>
      <c r="P19" s="197"/>
    </row>
    <row r="20" spans="2:23">
      <c r="B20" s="303">
        <v>27</v>
      </c>
      <c r="C20" s="106" t="s">
        <v>1167</v>
      </c>
      <c r="D20" s="106"/>
      <c r="E20" s="343" t="s">
        <v>2276</v>
      </c>
      <c r="F20" s="338" t="s">
        <v>2279</v>
      </c>
      <c r="G20" s="305"/>
      <c r="H20" s="324"/>
      <c r="I20" s="248"/>
      <c r="J20" s="197"/>
      <c r="K20" s="197"/>
      <c r="L20" s="197"/>
      <c r="M20" s="197"/>
      <c r="N20" s="197"/>
      <c r="O20" s="197"/>
      <c r="P20" s="197"/>
    </row>
    <row r="21" spans="2:23">
      <c r="B21" s="303">
        <v>28</v>
      </c>
      <c r="C21" s="106" t="s">
        <v>1168</v>
      </c>
      <c r="D21" s="106">
        <v>6</v>
      </c>
      <c r="E21" s="337">
        <v>2.1</v>
      </c>
      <c r="F21" s="304" t="s">
        <v>2199</v>
      </c>
      <c r="G21" s="305" t="s">
        <v>515</v>
      </c>
      <c r="H21" s="324">
        <f t="shared" si="0"/>
        <v>996.52800000000002</v>
      </c>
      <c r="I21" s="248"/>
      <c r="J21" s="377">
        <f>+(J15*P21)*0.8</f>
        <v>995.32799999999997</v>
      </c>
      <c r="K21" s="378"/>
      <c r="L21" s="378"/>
      <c r="M21" s="378"/>
      <c r="N21" s="378"/>
      <c r="P21">
        <v>1.2</v>
      </c>
      <c r="Q21" s="198"/>
      <c r="R21" s="198"/>
      <c r="S21" s="199"/>
    </row>
    <row r="22" spans="2:23">
      <c r="B22" s="303">
        <v>29</v>
      </c>
      <c r="C22" s="106" t="s">
        <v>1169</v>
      </c>
      <c r="D22" s="106">
        <v>7</v>
      </c>
      <c r="E22" s="337">
        <v>2.2000000000000002</v>
      </c>
      <c r="F22" s="304" t="s">
        <v>2200</v>
      </c>
      <c r="G22" s="305" t="s">
        <v>515</v>
      </c>
      <c r="H22" s="324">
        <f t="shared" si="0"/>
        <v>107</v>
      </c>
      <c r="I22" s="248"/>
      <c r="J22" s="197">
        <v>107</v>
      </c>
      <c r="K22" s="197"/>
      <c r="L22" s="197"/>
      <c r="M22" s="197"/>
      <c r="N22" s="197"/>
      <c r="O22" s="197"/>
      <c r="P22" s="197"/>
      <c r="Q22" s="198"/>
      <c r="R22" s="198"/>
      <c r="S22" s="199"/>
    </row>
    <row r="23" spans="2:23">
      <c r="B23" s="303">
        <v>30</v>
      </c>
      <c r="C23" s="106" t="s">
        <v>1170</v>
      </c>
      <c r="D23" s="106"/>
      <c r="E23" s="343" t="s">
        <v>2278</v>
      </c>
      <c r="F23" s="338" t="s">
        <v>2277</v>
      </c>
      <c r="G23" s="305"/>
      <c r="H23" s="324"/>
      <c r="I23" s="248"/>
      <c r="J23" s="197"/>
      <c r="K23" s="197"/>
      <c r="L23" s="197"/>
      <c r="M23" s="197"/>
      <c r="N23" s="197"/>
      <c r="O23" s="197"/>
      <c r="P23" s="197"/>
      <c r="Q23" s="199"/>
      <c r="R23" s="199"/>
      <c r="S23" s="199"/>
    </row>
    <row r="24" spans="2:23">
      <c r="B24" s="303">
        <v>31</v>
      </c>
      <c r="C24" s="106" t="s">
        <v>1171</v>
      </c>
      <c r="D24" s="106">
        <v>8</v>
      </c>
      <c r="E24" s="337">
        <v>3.1</v>
      </c>
      <c r="F24" s="304" t="s">
        <v>739</v>
      </c>
      <c r="G24" s="305" t="s">
        <v>515</v>
      </c>
      <c r="H24" s="324">
        <f>+J24</f>
        <v>22.27</v>
      </c>
      <c r="I24" s="248"/>
      <c r="J24" s="377">
        <v>22.27</v>
      </c>
      <c r="K24" s="378"/>
      <c r="L24" s="378"/>
      <c r="M24" s="378"/>
      <c r="N24" s="378"/>
    </row>
    <row r="25" spans="2:23">
      <c r="B25" s="303">
        <v>32</v>
      </c>
      <c r="C25" s="106" t="s">
        <v>1172</v>
      </c>
      <c r="D25" s="106">
        <v>9</v>
      </c>
      <c r="E25" s="337">
        <v>3.2</v>
      </c>
      <c r="F25" s="304" t="s">
        <v>2202</v>
      </c>
      <c r="G25" s="305" t="s">
        <v>515</v>
      </c>
      <c r="H25" s="324">
        <f t="shared" ref="H25:H32" si="1">+J25</f>
        <v>68.900000000000006</v>
      </c>
      <c r="I25" s="248"/>
      <c r="J25" s="377">
        <v>68.900000000000006</v>
      </c>
      <c r="K25" s="378"/>
      <c r="L25" s="378"/>
      <c r="M25" s="378"/>
      <c r="N25" s="378"/>
    </row>
    <row r="26" spans="2:23">
      <c r="B26" s="303">
        <v>33</v>
      </c>
      <c r="C26" s="106" t="s">
        <v>1173</v>
      </c>
      <c r="D26" s="106">
        <v>10</v>
      </c>
      <c r="E26" s="337">
        <v>3.3</v>
      </c>
      <c r="F26" s="304" t="s">
        <v>2203</v>
      </c>
      <c r="G26" s="305" t="s">
        <v>515</v>
      </c>
      <c r="H26" s="324">
        <f t="shared" si="1"/>
        <v>14.48</v>
      </c>
      <c r="I26" s="248"/>
      <c r="J26" s="377">
        <v>14.48</v>
      </c>
      <c r="K26" s="378"/>
      <c r="L26" s="378"/>
      <c r="M26" s="378"/>
      <c r="N26" s="378"/>
    </row>
    <row r="27" spans="2:23">
      <c r="B27" s="303">
        <v>34</v>
      </c>
      <c r="C27" s="106" t="s">
        <v>1174</v>
      </c>
      <c r="D27" s="106">
        <v>11</v>
      </c>
      <c r="E27" s="337">
        <v>3.4</v>
      </c>
      <c r="F27" s="304" t="s">
        <v>2204</v>
      </c>
      <c r="G27" s="305" t="s">
        <v>515</v>
      </c>
      <c r="H27" s="324">
        <f t="shared" si="1"/>
        <v>23.8</v>
      </c>
      <c r="I27" s="248"/>
      <c r="J27" s="377">
        <v>23.8</v>
      </c>
      <c r="K27" s="378"/>
      <c r="L27" s="378"/>
      <c r="M27" s="378"/>
      <c r="N27" s="378"/>
      <c r="T27">
        <f>(8.5*3+2.65*2)*0.2*0.3</f>
        <v>1.8479999999999999</v>
      </c>
      <c r="U27">
        <f>+(6.8*6+2.6*6)*0.2*0.25</f>
        <v>2.8200000000000003</v>
      </c>
    </row>
    <row r="28" spans="2:23">
      <c r="B28" s="303">
        <v>35</v>
      </c>
      <c r="C28" s="106" t="s">
        <v>1175</v>
      </c>
      <c r="D28" s="106">
        <v>12</v>
      </c>
      <c r="E28" s="337">
        <v>3.5</v>
      </c>
      <c r="F28" s="304" t="s">
        <v>755</v>
      </c>
      <c r="G28" s="305" t="s">
        <v>515</v>
      </c>
      <c r="H28" s="324">
        <f t="shared" si="1"/>
        <v>11.74</v>
      </c>
      <c r="I28" s="248"/>
      <c r="J28" s="377">
        <v>11.74</v>
      </c>
      <c r="K28" s="378"/>
      <c r="L28" s="378"/>
      <c r="M28" s="378"/>
      <c r="N28" s="378"/>
    </row>
    <row r="29" spans="2:23">
      <c r="B29" s="303">
        <v>36</v>
      </c>
      <c r="C29" s="106" t="s">
        <v>1176</v>
      </c>
      <c r="D29" s="106">
        <v>13</v>
      </c>
      <c r="E29" s="337">
        <v>3.6</v>
      </c>
      <c r="F29" s="304" t="s">
        <v>2167</v>
      </c>
      <c r="G29" s="305" t="s">
        <v>515</v>
      </c>
      <c r="H29" s="324">
        <f t="shared" si="1"/>
        <v>11.64</v>
      </c>
      <c r="I29" s="248"/>
      <c r="J29" s="377">
        <v>11.64</v>
      </c>
      <c r="K29" s="378"/>
      <c r="L29" s="378"/>
      <c r="M29" s="378"/>
      <c r="N29" s="378"/>
    </row>
    <row r="30" spans="2:23">
      <c r="B30" s="303">
        <v>37</v>
      </c>
      <c r="C30" s="106" t="s">
        <v>1177</v>
      </c>
      <c r="D30" s="106">
        <v>14</v>
      </c>
      <c r="E30" s="337">
        <v>3.7</v>
      </c>
      <c r="F30" s="304" t="s">
        <v>2205</v>
      </c>
      <c r="G30" s="305" t="s">
        <v>515</v>
      </c>
      <c r="H30" s="324">
        <f t="shared" si="1"/>
        <v>15.58</v>
      </c>
      <c r="I30" s="248"/>
      <c r="J30" s="377">
        <v>15.58</v>
      </c>
      <c r="K30" s="378"/>
      <c r="L30" s="378"/>
      <c r="M30" s="378"/>
      <c r="N30" s="378"/>
    </row>
    <row r="31" spans="2:23">
      <c r="B31" s="303">
        <v>38</v>
      </c>
      <c r="C31" s="106" t="s">
        <v>1178</v>
      </c>
      <c r="D31" s="106">
        <v>15</v>
      </c>
      <c r="E31" s="337">
        <v>3.8</v>
      </c>
      <c r="F31" s="304" t="s">
        <v>751</v>
      </c>
      <c r="G31" s="305" t="s">
        <v>515</v>
      </c>
      <c r="H31" s="324">
        <f t="shared" si="1"/>
        <v>34.75</v>
      </c>
      <c r="I31" s="248"/>
      <c r="J31" s="377">
        <v>34.75</v>
      </c>
      <c r="K31" s="378"/>
      <c r="L31" s="378"/>
      <c r="M31" s="378"/>
      <c r="N31" s="378"/>
      <c r="V31" s="198"/>
      <c r="W31" s="198"/>
    </row>
    <row r="32" spans="2:23">
      <c r="B32" s="303">
        <v>39</v>
      </c>
      <c r="C32" s="106" t="s">
        <v>1179</v>
      </c>
      <c r="D32" s="106">
        <v>16</v>
      </c>
      <c r="E32" s="337">
        <v>3.9</v>
      </c>
      <c r="F32" s="304" t="s">
        <v>2206</v>
      </c>
      <c r="G32" s="305" t="s">
        <v>515</v>
      </c>
      <c r="H32" s="324">
        <f t="shared" si="1"/>
        <v>96.79</v>
      </c>
      <c r="I32" s="248"/>
      <c r="J32" s="377">
        <v>96.79</v>
      </c>
      <c r="K32" s="378"/>
      <c r="L32" s="378"/>
      <c r="M32" s="378"/>
      <c r="N32" s="378"/>
    </row>
    <row r="33" spans="2:18">
      <c r="B33" s="303">
        <v>40</v>
      </c>
      <c r="C33" s="106" t="s">
        <v>2168</v>
      </c>
      <c r="D33" s="106"/>
      <c r="E33" s="343" t="s">
        <v>2280</v>
      </c>
      <c r="F33" s="338" t="s">
        <v>540</v>
      </c>
      <c r="G33" s="305"/>
      <c r="H33" s="324"/>
      <c r="I33" s="248"/>
    </row>
    <row r="34" spans="2:18">
      <c r="B34" s="303">
        <v>41</v>
      </c>
      <c r="C34" s="106" t="s">
        <v>1180</v>
      </c>
      <c r="D34" s="106">
        <v>17</v>
      </c>
      <c r="E34" s="341">
        <v>4.0999999999999996</v>
      </c>
      <c r="F34" s="304" t="s">
        <v>2208</v>
      </c>
      <c r="G34" s="305" t="s">
        <v>521</v>
      </c>
      <c r="H34" s="324">
        <f>+J34</f>
        <v>490</v>
      </c>
      <c r="I34" s="248"/>
      <c r="J34" s="377">
        <v>490</v>
      </c>
      <c r="K34" s="378"/>
      <c r="L34" s="378"/>
      <c r="M34" s="378"/>
      <c r="N34" s="378"/>
    </row>
    <row r="35" spans="2:18">
      <c r="B35" s="303">
        <v>42</v>
      </c>
      <c r="C35" s="106" t="s">
        <v>1181</v>
      </c>
      <c r="D35" s="106">
        <v>18</v>
      </c>
      <c r="E35" s="337">
        <v>4.2</v>
      </c>
      <c r="F35" s="304" t="s">
        <v>2209</v>
      </c>
      <c r="G35" s="305" t="s">
        <v>521</v>
      </c>
      <c r="H35" s="324">
        <f t="shared" ref="H35:H39" si="2">+J35</f>
        <v>132.5</v>
      </c>
      <c r="I35" s="248"/>
      <c r="J35" s="377">
        <f>67+22.5+(3.8*4+4.8*4)*1.25</f>
        <v>132.5</v>
      </c>
      <c r="K35" s="378"/>
      <c r="L35" s="378"/>
      <c r="M35" s="378"/>
      <c r="N35" s="378"/>
    </row>
    <row r="36" spans="2:18">
      <c r="B36" s="303">
        <v>43</v>
      </c>
      <c r="C36" s="106" t="s">
        <v>1182</v>
      </c>
      <c r="D36" s="106">
        <v>19</v>
      </c>
      <c r="E36" s="337">
        <v>4.3</v>
      </c>
      <c r="F36" s="304" t="s">
        <v>2210</v>
      </c>
      <c r="G36" s="305" t="s">
        <v>521</v>
      </c>
      <c r="H36" s="324">
        <f t="shared" si="2"/>
        <v>26.5</v>
      </c>
      <c r="I36" s="248"/>
      <c r="J36" s="377">
        <v>26.5</v>
      </c>
      <c r="K36" s="378"/>
      <c r="L36" s="378"/>
      <c r="M36" s="378"/>
      <c r="N36" s="378"/>
    </row>
    <row r="37" spans="2:18">
      <c r="B37" s="303">
        <v>44</v>
      </c>
      <c r="C37" s="106" t="s">
        <v>1183</v>
      </c>
      <c r="D37" s="106">
        <v>20</v>
      </c>
      <c r="E37" s="337">
        <v>4.4000000000000004</v>
      </c>
      <c r="F37" s="304" t="s">
        <v>2211</v>
      </c>
      <c r="G37" s="305" t="s">
        <v>521</v>
      </c>
      <c r="H37" s="324">
        <f t="shared" si="2"/>
        <v>56.956000000000003</v>
      </c>
      <c r="I37" s="248"/>
      <c r="J37" s="377">
        <f>SUM(P37:S37)</f>
        <v>56.956000000000003</v>
      </c>
      <c r="K37" s="378"/>
      <c r="L37" s="378"/>
      <c r="M37" s="378"/>
      <c r="N37" s="378"/>
      <c r="P37">
        <f>22.6*6*0.3</f>
        <v>40.680000000000007</v>
      </c>
      <c r="Q37">
        <f>((2.3+1.6)*6+18+3.8*4+4.8*4)*0.2</f>
        <v>15.16</v>
      </c>
      <c r="R37">
        <f>(3.6+5.7)*0.12</f>
        <v>1.1160000000000001</v>
      </c>
    </row>
    <row r="38" spans="2:18">
      <c r="B38" s="303">
        <v>45</v>
      </c>
      <c r="C38" s="106" t="s">
        <v>1184</v>
      </c>
      <c r="D38" s="106">
        <v>21</v>
      </c>
      <c r="E38" s="337">
        <v>4.5</v>
      </c>
      <c r="F38" s="304" t="s">
        <v>2212</v>
      </c>
      <c r="G38" s="305" t="s">
        <v>521</v>
      </c>
      <c r="H38" s="324">
        <f t="shared" si="2"/>
        <v>15.280000000000001</v>
      </c>
      <c r="I38" s="248"/>
      <c r="J38" s="377">
        <f>SUM(P38:Q38)</f>
        <v>15.280000000000001</v>
      </c>
      <c r="K38" s="378"/>
      <c r="L38" s="378"/>
      <c r="M38" s="378"/>
      <c r="N38" s="378"/>
      <c r="P38">
        <f>1.3*1.6*4+0.9*1.6*4</f>
        <v>14.080000000000002</v>
      </c>
      <c r="Q38">
        <f>3*1*0.4</f>
        <v>1.2000000000000002</v>
      </c>
    </row>
    <row r="39" spans="2:18">
      <c r="B39" s="303">
        <v>46</v>
      </c>
      <c r="C39" s="106" t="s">
        <v>1185</v>
      </c>
      <c r="D39" s="106">
        <v>22</v>
      </c>
      <c r="E39" s="337">
        <v>4.5999999999999996</v>
      </c>
      <c r="F39" s="304" t="s">
        <v>2213</v>
      </c>
      <c r="G39" s="305" t="s">
        <v>521</v>
      </c>
      <c r="H39" s="324">
        <f t="shared" si="2"/>
        <v>45.6</v>
      </c>
      <c r="I39" s="248"/>
      <c r="J39" s="377">
        <f>SUM(P39:Q39)</f>
        <v>45.6</v>
      </c>
      <c r="K39" s="378"/>
      <c r="L39" s="378"/>
      <c r="M39" s="378"/>
      <c r="N39" s="378"/>
      <c r="P39">
        <f>2*2.85*8</f>
        <v>45.6</v>
      </c>
    </row>
    <row r="40" spans="2:18">
      <c r="B40" s="303">
        <v>47</v>
      </c>
      <c r="C40" s="106" t="s">
        <v>1186</v>
      </c>
      <c r="D40" s="106"/>
      <c r="E40" s="343" t="s">
        <v>2281</v>
      </c>
      <c r="F40" s="338" t="s">
        <v>15</v>
      </c>
      <c r="G40" s="305"/>
      <c r="H40" s="324"/>
      <c r="I40" s="248"/>
      <c r="J40" s="197"/>
      <c r="K40" s="197"/>
      <c r="L40" s="197"/>
      <c r="M40" s="197"/>
      <c r="N40" s="197"/>
      <c r="O40" s="197"/>
      <c r="P40" s="197"/>
    </row>
    <row r="41" spans="2:18">
      <c r="B41" s="303">
        <v>48</v>
      </c>
      <c r="C41" s="106" t="s">
        <v>1187</v>
      </c>
      <c r="D41" s="106">
        <v>23</v>
      </c>
      <c r="E41" s="337">
        <v>5.0999999999999996</v>
      </c>
      <c r="F41" s="304" t="s">
        <v>2215</v>
      </c>
      <c r="G41" s="305" t="s">
        <v>521</v>
      </c>
      <c r="H41" s="324">
        <f>+J41</f>
        <v>1139.6600000000001</v>
      </c>
      <c r="I41" s="248"/>
      <c r="J41" s="377">
        <f>+J34*2+J35*2+J36*2-J43</f>
        <v>1139.6600000000001</v>
      </c>
      <c r="K41" s="378"/>
      <c r="L41" s="378"/>
      <c r="M41" s="378"/>
      <c r="N41" s="378"/>
    </row>
    <row r="42" spans="2:18">
      <c r="B42" s="303">
        <v>49</v>
      </c>
      <c r="C42" s="106" t="s">
        <v>1188</v>
      </c>
      <c r="D42" s="106">
        <v>24</v>
      </c>
      <c r="E42" s="337">
        <v>5.2</v>
      </c>
      <c r="F42" s="304" t="s">
        <v>2216</v>
      </c>
      <c r="G42" s="305" t="s">
        <v>521</v>
      </c>
      <c r="H42" s="324">
        <f t="shared" ref="H42:H44" si="3">+J42</f>
        <v>842.66000000000008</v>
      </c>
      <c r="I42" s="248"/>
      <c r="J42" s="377">
        <f>+J41-J44</f>
        <v>842.66000000000008</v>
      </c>
      <c r="K42" s="378"/>
      <c r="L42" s="378"/>
      <c r="M42" s="378"/>
      <c r="N42" s="378"/>
    </row>
    <row r="43" spans="2:18">
      <c r="B43" s="303">
        <v>50</v>
      </c>
      <c r="C43" s="106" t="s">
        <v>1189</v>
      </c>
      <c r="D43" s="106">
        <v>25</v>
      </c>
      <c r="E43" s="337">
        <v>5.3</v>
      </c>
      <c r="F43" s="304" t="s">
        <v>2217</v>
      </c>
      <c r="G43" s="305" t="s">
        <v>521</v>
      </c>
      <c r="H43" s="324">
        <f t="shared" si="3"/>
        <v>158.34</v>
      </c>
      <c r="I43" s="248"/>
      <c r="J43" s="377">
        <f>SUM(P43:T43)</f>
        <v>158.34</v>
      </c>
      <c r="K43" s="378"/>
      <c r="L43" s="378"/>
      <c r="M43" s="378"/>
      <c r="N43" s="378"/>
      <c r="P43">
        <f>65*2.1</f>
        <v>136.5</v>
      </c>
      <c r="Q43">
        <f>10.4*2.1</f>
        <v>21.840000000000003</v>
      </c>
    </row>
    <row r="44" spans="2:18">
      <c r="B44" s="303">
        <v>51</v>
      </c>
      <c r="C44" s="106" t="s">
        <v>1190</v>
      </c>
      <c r="D44" s="106">
        <v>26</v>
      </c>
      <c r="E44" s="337">
        <v>5.4</v>
      </c>
      <c r="F44" s="304" t="s">
        <v>2218</v>
      </c>
      <c r="G44" s="305" t="s">
        <v>521</v>
      </c>
      <c r="H44" s="324">
        <f t="shared" si="3"/>
        <v>297</v>
      </c>
      <c r="I44" s="248"/>
      <c r="J44" s="377">
        <f>SUM(P44:Q44)</f>
        <v>297</v>
      </c>
      <c r="K44" s="378"/>
      <c r="L44" s="378"/>
      <c r="M44" s="378"/>
      <c r="N44" s="378"/>
      <c r="P44">
        <f>86*2</f>
        <v>172</v>
      </c>
      <c r="Q44">
        <f>12.5*10</f>
        <v>125</v>
      </c>
      <c r="R44">
        <f>1.2*3.8*4</f>
        <v>18.239999999999998</v>
      </c>
    </row>
    <row r="45" spans="2:18">
      <c r="B45" s="303">
        <v>52</v>
      </c>
      <c r="C45" s="106" t="s">
        <v>1191</v>
      </c>
      <c r="D45" s="106"/>
      <c r="E45" s="343" t="s">
        <v>2282</v>
      </c>
      <c r="F45" s="338" t="s">
        <v>600</v>
      </c>
      <c r="G45" s="305"/>
      <c r="H45" s="324"/>
      <c r="I45" s="248"/>
      <c r="J45" s="197"/>
      <c r="K45" s="197"/>
      <c r="L45" s="197"/>
      <c r="M45" s="197"/>
      <c r="N45" s="197"/>
      <c r="O45" s="197"/>
      <c r="P45" s="197"/>
    </row>
    <row r="46" spans="2:18">
      <c r="B46" s="303">
        <v>53</v>
      </c>
      <c r="C46" s="106" t="s">
        <v>1192</v>
      </c>
      <c r="D46" s="106"/>
      <c r="E46" s="342" t="s">
        <v>2283</v>
      </c>
      <c r="F46" s="339" t="s">
        <v>2284</v>
      </c>
      <c r="G46" s="305"/>
      <c r="H46" s="324"/>
      <c r="I46" s="248"/>
      <c r="J46" s="197"/>
      <c r="K46" s="197"/>
      <c r="L46" s="197"/>
      <c r="M46" s="197"/>
      <c r="N46" s="197"/>
      <c r="O46" s="197"/>
      <c r="P46" s="197"/>
    </row>
    <row r="47" spans="2:18">
      <c r="B47" s="303">
        <v>54</v>
      </c>
      <c r="C47" s="106" t="s">
        <v>1193</v>
      </c>
      <c r="D47" s="106">
        <v>27</v>
      </c>
      <c r="E47" s="341">
        <v>7.1</v>
      </c>
      <c r="F47" s="304" t="s">
        <v>2221</v>
      </c>
      <c r="G47" s="305" t="s">
        <v>521</v>
      </c>
      <c r="H47" s="324">
        <f>+J47</f>
        <v>654</v>
      </c>
      <c r="I47" s="248"/>
      <c r="J47" s="377">
        <f>SUM(P47:Q47)</f>
        <v>654</v>
      </c>
      <c r="K47" s="378"/>
      <c r="L47" s="378"/>
      <c r="M47" s="378"/>
      <c r="N47" s="378"/>
      <c r="P47">
        <v>410</v>
      </c>
      <c r="Q47">
        <v>244</v>
      </c>
    </row>
    <row r="48" spans="2:18">
      <c r="B48" s="303">
        <v>55</v>
      </c>
      <c r="C48" s="106" t="s">
        <v>1194</v>
      </c>
      <c r="D48" s="106">
        <v>28</v>
      </c>
      <c r="E48" s="337">
        <v>7.2</v>
      </c>
      <c r="F48" s="304" t="s">
        <v>2222</v>
      </c>
      <c r="G48" s="305" t="s">
        <v>521</v>
      </c>
      <c r="H48" s="324">
        <f t="shared" ref="H48:H53" si="4">+J48</f>
        <v>557</v>
      </c>
      <c r="I48" s="248"/>
      <c r="J48" s="377">
        <f>+J50</f>
        <v>557</v>
      </c>
      <c r="K48" s="378"/>
      <c r="L48" s="378"/>
      <c r="M48" s="378"/>
      <c r="N48" s="378"/>
    </row>
    <row r="49" spans="2:18">
      <c r="B49" s="303">
        <v>56</v>
      </c>
      <c r="C49" s="106" t="s">
        <v>1195</v>
      </c>
      <c r="D49" s="106">
        <v>29</v>
      </c>
      <c r="E49" s="337">
        <v>7.3</v>
      </c>
      <c r="F49" s="304" t="s">
        <v>2223</v>
      </c>
      <c r="G49" s="305" t="s">
        <v>521</v>
      </c>
      <c r="H49" s="324">
        <f t="shared" si="4"/>
        <v>151</v>
      </c>
      <c r="I49" s="248"/>
      <c r="J49" s="377">
        <f>SUM(P49:Q49)</f>
        <v>151</v>
      </c>
      <c r="K49" s="378"/>
      <c r="L49" s="378"/>
      <c r="M49" s="378"/>
      <c r="N49" s="378"/>
      <c r="P49">
        <f>65*2</f>
        <v>130</v>
      </c>
      <c r="Q49">
        <v>21</v>
      </c>
    </row>
    <row r="50" spans="2:18" ht="25.5">
      <c r="B50" s="303">
        <v>57</v>
      </c>
      <c r="C50" s="106" t="s">
        <v>1196</v>
      </c>
      <c r="D50" s="106">
        <v>30</v>
      </c>
      <c r="E50" s="337">
        <v>7.4</v>
      </c>
      <c r="F50" s="304" t="s">
        <v>2224</v>
      </c>
      <c r="G50" s="305" t="s">
        <v>521</v>
      </c>
      <c r="H50" s="324">
        <f t="shared" si="4"/>
        <v>557</v>
      </c>
      <c r="I50" s="248"/>
      <c r="J50" s="377">
        <f>SUM(P50:Q50)</f>
        <v>557</v>
      </c>
      <c r="K50" s="378"/>
      <c r="L50" s="378"/>
      <c r="M50" s="378"/>
      <c r="N50" s="378"/>
      <c r="P50">
        <f>62*8</f>
        <v>496</v>
      </c>
      <c r="Q50">
        <v>61</v>
      </c>
      <c r="R50">
        <v>55</v>
      </c>
    </row>
    <row r="51" spans="2:18">
      <c r="B51" s="303">
        <v>58</v>
      </c>
      <c r="C51" s="106" t="s">
        <v>1197</v>
      </c>
      <c r="D51" s="106">
        <v>31</v>
      </c>
      <c r="E51" s="337">
        <v>7.5</v>
      </c>
      <c r="F51" s="304" t="s">
        <v>2225</v>
      </c>
      <c r="G51" s="305" t="s">
        <v>521</v>
      </c>
      <c r="H51" s="324">
        <f t="shared" si="4"/>
        <v>151</v>
      </c>
      <c r="I51" s="248"/>
      <c r="J51" s="377">
        <f>+J49</f>
        <v>151</v>
      </c>
      <c r="K51" s="378"/>
      <c r="L51" s="378"/>
      <c r="M51" s="378"/>
      <c r="N51" s="378"/>
    </row>
    <row r="52" spans="2:18" ht="25.5">
      <c r="B52" s="303">
        <v>59</v>
      </c>
      <c r="C52" s="106" t="s">
        <v>1198</v>
      </c>
      <c r="D52" s="106">
        <v>32</v>
      </c>
      <c r="E52" s="337">
        <v>7.6</v>
      </c>
      <c r="F52" s="304" t="s">
        <v>2226</v>
      </c>
      <c r="G52" s="305" t="s">
        <v>521</v>
      </c>
      <c r="H52" s="324">
        <f t="shared" si="4"/>
        <v>292</v>
      </c>
      <c r="I52" s="248"/>
      <c r="J52" s="377">
        <f>SUM(P52:Q52)</f>
        <v>292</v>
      </c>
      <c r="K52" s="378"/>
      <c r="L52" s="378"/>
      <c r="M52" s="378"/>
      <c r="N52" s="378"/>
      <c r="P52">
        <v>90</v>
      </c>
      <c r="Q52">
        <v>202</v>
      </c>
    </row>
    <row r="53" spans="2:18">
      <c r="B53" s="303">
        <v>60</v>
      </c>
      <c r="C53" s="106" t="s">
        <v>1199</v>
      </c>
      <c r="D53" s="106">
        <v>33</v>
      </c>
      <c r="E53" s="337">
        <v>7.7</v>
      </c>
      <c r="F53" s="304" t="s">
        <v>2227</v>
      </c>
      <c r="G53" s="305" t="s">
        <v>521</v>
      </c>
      <c r="H53" s="324">
        <f t="shared" si="4"/>
        <v>33.049999999999997</v>
      </c>
      <c r="I53" s="248"/>
      <c r="J53" s="377">
        <f>SUM(P53:Q53)</f>
        <v>33.049999999999997</v>
      </c>
      <c r="K53" s="378"/>
      <c r="L53" s="378"/>
      <c r="M53" s="378"/>
      <c r="N53" s="378"/>
      <c r="O53">
        <v>0.1</v>
      </c>
      <c r="P53">
        <f>31.4*8*O53</f>
        <v>25.12</v>
      </c>
      <c r="Q53">
        <f>79.3*O53</f>
        <v>7.93</v>
      </c>
      <c r="R53">
        <f>29.8*O53</f>
        <v>2.9800000000000004</v>
      </c>
    </row>
    <row r="54" spans="2:18">
      <c r="B54" s="303">
        <v>61</v>
      </c>
      <c r="C54" s="106" t="s">
        <v>1200</v>
      </c>
      <c r="D54" s="106"/>
      <c r="E54" s="342" t="s">
        <v>2285</v>
      </c>
      <c r="F54" s="339" t="s">
        <v>17</v>
      </c>
      <c r="G54" s="305"/>
      <c r="H54" s="324"/>
      <c r="I54" s="248"/>
      <c r="J54" s="197"/>
      <c r="K54" s="197"/>
      <c r="L54" s="197"/>
      <c r="M54" s="197"/>
      <c r="N54" s="197"/>
      <c r="O54" s="197"/>
      <c r="P54" s="197"/>
    </row>
    <row r="55" spans="2:18">
      <c r="B55" s="303">
        <v>62</v>
      </c>
      <c r="C55" s="106" t="s">
        <v>1201</v>
      </c>
      <c r="D55" s="106">
        <v>34</v>
      </c>
      <c r="E55" s="341">
        <v>8.1</v>
      </c>
      <c r="F55" s="304" t="s">
        <v>2229</v>
      </c>
      <c r="G55" s="305" t="s">
        <v>521</v>
      </c>
      <c r="H55" s="324">
        <f t="shared" si="0"/>
        <v>151</v>
      </c>
      <c r="I55" s="248"/>
      <c r="J55" s="197">
        <f>+J49</f>
        <v>151</v>
      </c>
      <c r="K55" s="197"/>
      <c r="L55" s="197"/>
      <c r="M55" s="197"/>
      <c r="N55" s="197"/>
      <c r="O55" s="197"/>
      <c r="P55" s="197"/>
    </row>
    <row r="56" spans="2:18">
      <c r="B56" s="303">
        <v>63</v>
      </c>
      <c r="C56" s="106" t="s">
        <v>1202</v>
      </c>
      <c r="D56" s="32"/>
      <c r="E56" s="342" t="s">
        <v>2287</v>
      </c>
      <c r="F56" s="339" t="s">
        <v>2286</v>
      </c>
      <c r="G56" s="305"/>
      <c r="H56" s="324"/>
      <c r="I56" s="248"/>
      <c r="J56" s="197"/>
      <c r="K56" s="197"/>
      <c r="L56" s="197"/>
      <c r="M56" s="197"/>
      <c r="N56" s="197"/>
      <c r="O56" s="197"/>
      <c r="P56" s="197"/>
    </row>
    <row r="57" spans="2:18">
      <c r="B57" s="303">
        <v>64</v>
      </c>
      <c r="C57" s="106" t="s">
        <v>1203</v>
      </c>
      <c r="D57" s="106">
        <v>35</v>
      </c>
      <c r="E57" s="337">
        <v>9.1</v>
      </c>
      <c r="F57" s="304" t="s">
        <v>2231</v>
      </c>
      <c r="G57" s="305" t="s">
        <v>521</v>
      </c>
      <c r="H57" s="324">
        <f t="shared" si="0"/>
        <v>2.64</v>
      </c>
      <c r="I57" s="248"/>
      <c r="J57" s="377">
        <f>2.2*0.6*2</f>
        <v>2.64</v>
      </c>
      <c r="K57" s="197"/>
      <c r="L57" s="197"/>
      <c r="M57" s="197"/>
      <c r="N57" s="197"/>
      <c r="O57" s="197"/>
      <c r="P57" s="197"/>
    </row>
    <row r="58" spans="2:18">
      <c r="B58" s="303">
        <v>65</v>
      </c>
      <c r="C58" s="106" t="s">
        <v>1204</v>
      </c>
      <c r="D58" s="106"/>
      <c r="E58" s="343" t="s">
        <v>2290</v>
      </c>
      <c r="F58" s="338" t="s">
        <v>2291</v>
      </c>
      <c r="G58" s="305"/>
      <c r="H58" s="324"/>
      <c r="I58" s="248"/>
      <c r="J58" s="197"/>
      <c r="K58" s="197"/>
      <c r="L58" s="197"/>
      <c r="M58" s="197"/>
      <c r="N58" s="197"/>
      <c r="O58" s="197"/>
      <c r="P58" s="197"/>
    </row>
    <row r="59" spans="2:18">
      <c r="B59" s="303">
        <v>66</v>
      </c>
      <c r="C59" s="106" t="s">
        <v>1205</v>
      </c>
      <c r="D59" s="106">
        <v>36</v>
      </c>
      <c r="E59" s="337">
        <v>10.1</v>
      </c>
      <c r="F59" s="304" t="s">
        <v>2233</v>
      </c>
      <c r="G59" s="305" t="s">
        <v>2292</v>
      </c>
      <c r="H59" s="324">
        <v>1</v>
      </c>
      <c r="I59" s="248"/>
      <c r="J59" s="197"/>
      <c r="K59" s="197"/>
      <c r="L59" s="197"/>
      <c r="M59" s="197"/>
      <c r="N59" s="197"/>
      <c r="O59" s="197"/>
      <c r="P59" s="197"/>
    </row>
    <row r="60" spans="2:18">
      <c r="B60" s="303">
        <v>67</v>
      </c>
      <c r="C60" s="106" t="s">
        <v>1206</v>
      </c>
      <c r="D60" s="106">
        <v>37</v>
      </c>
      <c r="E60" s="337">
        <v>10.199999999999999</v>
      </c>
      <c r="F60" s="304" t="s">
        <v>2235</v>
      </c>
      <c r="G60" s="305" t="s">
        <v>2292</v>
      </c>
      <c r="H60" s="324">
        <v>2</v>
      </c>
      <c r="I60" s="248"/>
      <c r="J60" s="197"/>
      <c r="K60" s="197"/>
      <c r="L60" s="197"/>
      <c r="M60" s="197"/>
      <c r="N60" s="197"/>
      <c r="O60" s="197"/>
      <c r="P60" s="197"/>
    </row>
    <row r="61" spans="2:18">
      <c r="B61" s="303">
        <v>68</v>
      </c>
      <c r="C61" s="106" t="s">
        <v>1207</v>
      </c>
      <c r="D61" s="106">
        <v>38</v>
      </c>
      <c r="E61" s="337">
        <v>10.3</v>
      </c>
      <c r="F61" s="304" t="s">
        <v>2236</v>
      </c>
      <c r="G61" s="305" t="s">
        <v>2292</v>
      </c>
      <c r="H61" s="324">
        <v>6</v>
      </c>
      <c r="I61" s="248"/>
      <c r="J61" s="197"/>
      <c r="K61" s="197"/>
      <c r="L61" s="197"/>
      <c r="M61" s="197"/>
      <c r="N61" s="197"/>
      <c r="O61" s="197"/>
      <c r="P61" s="197"/>
    </row>
    <row r="62" spans="2:18">
      <c r="B62" s="303">
        <v>69</v>
      </c>
      <c r="C62" s="106" t="s">
        <v>1208</v>
      </c>
      <c r="D62" s="106"/>
      <c r="E62" s="343" t="s">
        <v>2289</v>
      </c>
      <c r="F62" s="338" t="s">
        <v>2288</v>
      </c>
      <c r="G62" s="305"/>
      <c r="H62" s="324"/>
      <c r="I62" s="248"/>
      <c r="J62" s="197"/>
      <c r="K62" s="197"/>
      <c r="L62" s="197"/>
      <c r="M62" s="197"/>
      <c r="N62" s="197"/>
      <c r="O62" s="197"/>
      <c r="P62" s="197"/>
    </row>
    <row r="63" spans="2:18">
      <c r="B63" s="303">
        <v>70</v>
      </c>
      <c r="C63" s="106" t="s">
        <v>1209</v>
      </c>
      <c r="D63" s="106">
        <v>39</v>
      </c>
      <c r="E63" s="341">
        <v>11.1</v>
      </c>
      <c r="F63" s="304" t="s">
        <v>2238</v>
      </c>
      <c r="G63" s="305" t="s">
        <v>2292</v>
      </c>
      <c r="H63" s="324">
        <f t="shared" si="0"/>
        <v>8</v>
      </c>
      <c r="I63" s="248"/>
      <c r="J63" s="324">
        <v>8</v>
      </c>
      <c r="K63" s="197"/>
      <c r="L63" s="197"/>
      <c r="M63" s="197"/>
      <c r="N63" s="197"/>
      <c r="O63" s="197"/>
      <c r="P63" s="197"/>
    </row>
    <row r="64" spans="2:18">
      <c r="B64" s="303">
        <v>71</v>
      </c>
      <c r="C64" s="106" t="s">
        <v>1210</v>
      </c>
      <c r="D64" s="106">
        <v>40</v>
      </c>
      <c r="E64" s="337">
        <v>11.2</v>
      </c>
      <c r="F64" s="304" t="s">
        <v>2239</v>
      </c>
      <c r="G64" s="305" t="s">
        <v>2292</v>
      </c>
      <c r="H64" s="324">
        <f>+H59</f>
        <v>1</v>
      </c>
      <c r="I64" s="248"/>
      <c r="J64" s="324"/>
      <c r="K64" s="197"/>
      <c r="L64" s="197"/>
      <c r="M64" s="197"/>
      <c r="N64" s="197"/>
      <c r="O64" s="197"/>
      <c r="P64" s="197"/>
    </row>
    <row r="65" spans="2:16">
      <c r="B65" s="303">
        <v>72</v>
      </c>
      <c r="C65" s="106" t="s">
        <v>1211</v>
      </c>
      <c r="D65" s="106">
        <v>41</v>
      </c>
      <c r="E65" s="337">
        <v>11.3</v>
      </c>
      <c r="F65" s="304" t="s">
        <v>2240</v>
      </c>
      <c r="G65" s="305" t="s">
        <v>2292</v>
      </c>
      <c r="H65" s="324">
        <f>+H60</f>
        <v>2</v>
      </c>
      <c r="I65" s="248"/>
      <c r="J65" s="324"/>
      <c r="K65" s="197"/>
      <c r="L65" s="197"/>
      <c r="M65" s="197"/>
      <c r="N65" s="197"/>
      <c r="O65" s="197"/>
      <c r="P65" s="197"/>
    </row>
    <row r="66" spans="2:16">
      <c r="B66" s="303">
        <v>73</v>
      </c>
      <c r="C66" s="106" t="s">
        <v>1212</v>
      </c>
      <c r="D66" s="106">
        <v>42</v>
      </c>
      <c r="E66" s="337">
        <v>11.4</v>
      </c>
      <c r="F66" s="304" t="s">
        <v>2241</v>
      </c>
      <c r="G66" s="305" t="s">
        <v>2292</v>
      </c>
      <c r="H66" s="324">
        <f>+H61</f>
        <v>6</v>
      </c>
      <c r="I66" s="248"/>
      <c r="J66" s="324"/>
      <c r="K66" s="197"/>
      <c r="L66" s="197"/>
      <c r="M66" s="197"/>
      <c r="N66" s="197"/>
      <c r="O66" s="197"/>
      <c r="P66" s="197"/>
    </row>
    <row r="67" spans="2:16">
      <c r="B67" s="303">
        <v>74</v>
      </c>
      <c r="C67" s="106" t="s">
        <v>1213</v>
      </c>
      <c r="D67" s="106">
        <v>43</v>
      </c>
      <c r="E67" s="341">
        <v>11.5</v>
      </c>
      <c r="F67" s="304" t="s">
        <v>2242</v>
      </c>
      <c r="G67" s="305" t="s">
        <v>2292</v>
      </c>
      <c r="H67" s="324">
        <f t="shared" si="0"/>
        <v>1</v>
      </c>
      <c r="I67" s="248"/>
      <c r="J67" s="324">
        <v>1</v>
      </c>
      <c r="K67" s="197"/>
      <c r="L67" s="197"/>
      <c r="M67" s="197"/>
      <c r="N67" s="197"/>
      <c r="O67" s="197"/>
      <c r="P67" s="197"/>
    </row>
    <row r="68" spans="2:16">
      <c r="B68" s="303">
        <v>75</v>
      </c>
      <c r="C68" s="106" t="s">
        <v>1214</v>
      </c>
      <c r="D68" s="106">
        <v>44</v>
      </c>
      <c r="E68" s="337">
        <v>11.6</v>
      </c>
      <c r="F68" s="304" t="s">
        <v>2243</v>
      </c>
      <c r="G68" s="305" t="s">
        <v>2292</v>
      </c>
      <c r="H68" s="324">
        <f t="shared" si="0"/>
        <v>4</v>
      </c>
      <c r="I68" s="248"/>
      <c r="J68" s="324">
        <v>4</v>
      </c>
      <c r="K68" s="197"/>
      <c r="L68" s="197"/>
      <c r="M68" s="197"/>
      <c r="N68" s="197"/>
      <c r="O68" s="197"/>
      <c r="P68" s="197"/>
    </row>
    <row r="69" spans="2:16">
      <c r="B69" s="303">
        <v>76</v>
      </c>
      <c r="C69" s="106" t="s">
        <v>1215</v>
      </c>
      <c r="D69" s="106">
        <v>45</v>
      </c>
      <c r="E69" s="337">
        <v>11.7</v>
      </c>
      <c r="F69" s="304" t="s">
        <v>2244</v>
      </c>
      <c r="G69" s="305" t="s">
        <v>2292</v>
      </c>
      <c r="H69" s="324">
        <f t="shared" si="0"/>
        <v>4</v>
      </c>
      <c r="I69" s="248"/>
      <c r="J69" s="324">
        <v>4</v>
      </c>
      <c r="K69" s="197"/>
      <c r="L69" s="197"/>
      <c r="M69" s="197"/>
      <c r="N69" s="197"/>
      <c r="O69" s="197"/>
      <c r="P69" s="197"/>
    </row>
    <row r="70" spans="2:16">
      <c r="B70" s="303">
        <v>77</v>
      </c>
      <c r="C70" s="106" t="s">
        <v>1216</v>
      </c>
      <c r="D70" s="106">
        <v>46</v>
      </c>
      <c r="E70" s="337">
        <v>11.8</v>
      </c>
      <c r="F70" s="304" t="s">
        <v>2245</v>
      </c>
      <c r="G70" s="305" t="s">
        <v>2292</v>
      </c>
      <c r="H70" s="324">
        <f t="shared" si="0"/>
        <v>3</v>
      </c>
      <c r="I70" s="248"/>
      <c r="J70" s="324">
        <v>3</v>
      </c>
      <c r="K70" s="197"/>
      <c r="L70" s="197"/>
      <c r="M70" s="197"/>
      <c r="N70" s="197"/>
      <c r="O70" s="197"/>
      <c r="P70" s="197"/>
    </row>
    <row r="71" spans="2:16">
      <c r="B71" s="303">
        <v>78</v>
      </c>
      <c r="C71" s="106" t="s">
        <v>1217</v>
      </c>
      <c r="D71" s="106">
        <v>47</v>
      </c>
      <c r="E71" s="337">
        <v>11.9</v>
      </c>
      <c r="F71" s="304" t="s">
        <v>2246</v>
      </c>
      <c r="G71" s="305" t="s">
        <v>2292</v>
      </c>
      <c r="H71" s="324">
        <f t="shared" si="0"/>
        <v>3</v>
      </c>
      <c r="I71" s="248"/>
      <c r="J71" s="324">
        <v>3</v>
      </c>
      <c r="K71" s="197"/>
      <c r="L71" s="197"/>
      <c r="M71" s="197"/>
      <c r="N71" s="197"/>
      <c r="O71" s="197"/>
      <c r="P71" s="197"/>
    </row>
    <row r="72" spans="2:16">
      <c r="B72" s="303">
        <v>79</v>
      </c>
      <c r="C72" s="106" t="s">
        <v>1218</v>
      </c>
      <c r="D72" s="106">
        <v>48</v>
      </c>
      <c r="E72" s="548">
        <v>11.1</v>
      </c>
      <c r="F72" s="304" t="s">
        <v>2247</v>
      </c>
      <c r="G72" s="305" t="s">
        <v>2292</v>
      </c>
      <c r="H72" s="324">
        <f t="shared" si="0"/>
        <v>14</v>
      </c>
      <c r="I72" s="248"/>
      <c r="J72" s="324">
        <v>14</v>
      </c>
      <c r="K72" s="197"/>
      <c r="L72" s="197"/>
      <c r="M72" s="197"/>
      <c r="N72" s="197"/>
      <c r="O72" s="197"/>
      <c r="P72" s="197"/>
    </row>
    <row r="73" spans="2:16">
      <c r="B73" s="303">
        <v>80</v>
      </c>
      <c r="C73" s="106" t="s">
        <v>1219</v>
      </c>
      <c r="D73" s="106">
        <v>49</v>
      </c>
      <c r="E73" s="337">
        <v>11.11</v>
      </c>
      <c r="F73" s="304" t="s">
        <v>2248</v>
      </c>
      <c r="G73" s="305" t="s">
        <v>2292</v>
      </c>
      <c r="H73" s="324">
        <f t="shared" si="0"/>
        <v>1</v>
      </c>
      <c r="I73" s="248"/>
      <c r="J73" s="324">
        <v>1</v>
      </c>
      <c r="K73" s="197"/>
      <c r="L73" s="197"/>
      <c r="M73" s="197"/>
      <c r="N73" s="197"/>
      <c r="O73" s="197"/>
      <c r="P73" s="197"/>
    </row>
    <row r="74" spans="2:16">
      <c r="B74" s="303">
        <v>81</v>
      </c>
      <c r="C74" s="106" t="s">
        <v>1220</v>
      </c>
      <c r="D74" s="106">
        <v>50</v>
      </c>
      <c r="E74" s="337">
        <v>11.12</v>
      </c>
      <c r="F74" s="304" t="s">
        <v>2249</v>
      </c>
      <c r="G74" s="305" t="s">
        <v>521</v>
      </c>
      <c r="H74" s="324">
        <f t="shared" si="0"/>
        <v>87.5</v>
      </c>
      <c r="I74" s="248"/>
      <c r="J74" s="197">
        <v>87.5</v>
      </c>
      <c r="K74" s="197"/>
      <c r="L74" s="197"/>
      <c r="M74" s="197"/>
      <c r="N74" s="197"/>
      <c r="O74" s="197"/>
      <c r="P74" s="197"/>
    </row>
    <row r="75" spans="2:16">
      <c r="B75" s="303">
        <v>82</v>
      </c>
      <c r="C75" s="106" t="s">
        <v>1221</v>
      </c>
      <c r="D75" s="106"/>
      <c r="E75" s="343" t="s">
        <v>2315</v>
      </c>
      <c r="F75" s="338" t="s">
        <v>29</v>
      </c>
      <c r="G75" s="305"/>
      <c r="H75" s="324"/>
      <c r="I75" s="248"/>
      <c r="J75" s="197"/>
      <c r="K75" s="197"/>
      <c r="L75" s="197"/>
      <c r="M75" s="197"/>
      <c r="N75" s="197"/>
      <c r="O75" s="197"/>
      <c r="P75" s="197"/>
    </row>
    <row r="76" spans="2:16">
      <c r="B76" s="303">
        <v>83</v>
      </c>
      <c r="C76" s="106" t="s">
        <v>1222</v>
      </c>
      <c r="D76" s="32">
        <v>51</v>
      </c>
      <c r="E76" s="337">
        <v>12.1</v>
      </c>
      <c r="F76" s="304" t="s">
        <v>2251</v>
      </c>
      <c r="G76" s="305" t="s">
        <v>2292</v>
      </c>
      <c r="H76" s="324">
        <f t="shared" si="0"/>
        <v>1</v>
      </c>
      <c r="I76" s="248"/>
      <c r="J76" s="197">
        <v>1</v>
      </c>
      <c r="K76" s="197"/>
      <c r="L76" s="197"/>
      <c r="M76" s="197"/>
      <c r="N76" s="197"/>
      <c r="O76" s="197"/>
      <c r="P76" s="197"/>
    </row>
    <row r="77" spans="2:16">
      <c r="B77" s="303">
        <v>84</v>
      </c>
      <c r="C77" s="106" t="s">
        <v>1223</v>
      </c>
      <c r="D77" s="106">
        <v>52</v>
      </c>
      <c r="E77" s="337">
        <v>12.2</v>
      </c>
      <c r="F77" s="304" t="s">
        <v>2252</v>
      </c>
      <c r="G77" s="305" t="s">
        <v>94</v>
      </c>
      <c r="H77" s="324">
        <f t="shared" si="0"/>
        <v>1</v>
      </c>
      <c r="I77" s="248"/>
      <c r="J77" s="197">
        <v>1</v>
      </c>
      <c r="K77" s="197"/>
      <c r="L77" s="197"/>
      <c r="M77" s="197"/>
      <c r="N77" s="197"/>
      <c r="O77" s="197"/>
      <c r="P77" s="197"/>
    </row>
    <row r="78" spans="2:16">
      <c r="B78" s="303">
        <v>85</v>
      </c>
      <c r="C78" s="106" t="s">
        <v>1224</v>
      </c>
      <c r="D78" s="32"/>
      <c r="E78" s="343" t="s">
        <v>2316</v>
      </c>
      <c r="F78" s="338" t="s">
        <v>30</v>
      </c>
      <c r="G78" s="305"/>
      <c r="H78" s="324"/>
      <c r="I78" s="248"/>
      <c r="J78" s="197"/>
      <c r="K78" s="197"/>
      <c r="L78" s="197"/>
      <c r="M78" s="197"/>
      <c r="N78" s="197"/>
      <c r="O78" s="197"/>
      <c r="P78" s="197"/>
    </row>
    <row r="79" spans="2:16">
      <c r="B79" s="303">
        <v>86</v>
      </c>
      <c r="C79" s="106" t="s">
        <v>1225</v>
      </c>
      <c r="D79" s="106">
        <v>53</v>
      </c>
      <c r="E79" s="337">
        <v>13.1</v>
      </c>
      <c r="F79" s="304" t="s">
        <v>2254</v>
      </c>
      <c r="G79" s="305" t="s">
        <v>2292</v>
      </c>
      <c r="H79" s="324">
        <f t="shared" si="0"/>
        <v>1</v>
      </c>
      <c r="I79" s="248"/>
      <c r="J79" s="197">
        <v>1</v>
      </c>
      <c r="K79" s="197"/>
      <c r="L79" s="197"/>
      <c r="M79" s="197"/>
      <c r="N79" s="197"/>
      <c r="O79" s="197"/>
      <c r="P79" s="197"/>
    </row>
    <row r="80" spans="2:16">
      <c r="B80" s="303">
        <v>87</v>
      </c>
      <c r="C80" s="106" t="s">
        <v>2007</v>
      </c>
      <c r="D80" s="32">
        <v>54</v>
      </c>
      <c r="E80" s="337">
        <v>13.2</v>
      </c>
      <c r="F80" s="304" t="s">
        <v>2255</v>
      </c>
      <c r="G80" s="305" t="s">
        <v>94</v>
      </c>
      <c r="H80" s="324">
        <f t="shared" ref="H80:H99" si="5">SUM(J80:P80)</f>
        <v>1</v>
      </c>
      <c r="I80" s="248"/>
      <c r="J80" s="197">
        <v>1</v>
      </c>
      <c r="K80" s="197"/>
      <c r="L80" s="197"/>
      <c r="M80" s="197"/>
      <c r="N80" s="197"/>
      <c r="O80" s="197"/>
      <c r="P80" s="197"/>
    </row>
    <row r="81" spans="2:16">
      <c r="B81" s="303">
        <v>88</v>
      </c>
      <c r="C81" s="106" t="s">
        <v>2008</v>
      </c>
      <c r="D81" s="106">
        <v>55</v>
      </c>
      <c r="E81" s="337">
        <v>13.3</v>
      </c>
      <c r="F81" s="304" t="s">
        <v>988</v>
      </c>
      <c r="G81" s="305" t="s">
        <v>94</v>
      </c>
      <c r="H81" s="324">
        <f t="shared" si="5"/>
        <v>1</v>
      </c>
      <c r="I81" s="248"/>
      <c r="J81" s="197">
        <v>1</v>
      </c>
      <c r="K81" s="197"/>
      <c r="L81" s="197"/>
      <c r="M81" s="197"/>
      <c r="N81" s="197"/>
      <c r="O81" s="197"/>
      <c r="P81" s="197"/>
    </row>
    <row r="82" spans="2:16">
      <c r="B82" s="303">
        <v>89</v>
      </c>
      <c r="C82" s="106" t="s">
        <v>2009</v>
      </c>
      <c r="D82" s="32">
        <v>56</v>
      </c>
      <c r="E82" s="337">
        <v>13.4</v>
      </c>
      <c r="F82" s="304" t="s">
        <v>2256</v>
      </c>
      <c r="G82" s="305" t="s">
        <v>94</v>
      </c>
      <c r="H82" s="324">
        <f t="shared" si="5"/>
        <v>1</v>
      </c>
      <c r="I82" s="248"/>
      <c r="J82" s="197">
        <v>1</v>
      </c>
      <c r="K82" s="197"/>
      <c r="L82" s="197"/>
      <c r="M82" s="197"/>
      <c r="N82" s="197"/>
      <c r="O82" s="197"/>
      <c r="P82" s="197"/>
    </row>
    <row r="83" spans="2:16">
      <c r="B83" s="303">
        <v>90</v>
      </c>
      <c r="C83" s="106" t="s">
        <v>2010</v>
      </c>
      <c r="D83" s="106">
        <v>57</v>
      </c>
      <c r="E83" s="337">
        <v>13.5</v>
      </c>
      <c r="F83" s="304" t="s">
        <v>2257</v>
      </c>
      <c r="G83" s="305" t="s">
        <v>94</v>
      </c>
      <c r="H83" s="324">
        <f t="shared" si="5"/>
        <v>1</v>
      </c>
      <c r="I83" s="248"/>
      <c r="J83" s="197">
        <v>1</v>
      </c>
      <c r="K83" s="197"/>
      <c r="L83" s="197"/>
      <c r="M83" s="197"/>
      <c r="N83" s="197"/>
      <c r="O83" s="197"/>
      <c r="P83" s="197"/>
    </row>
    <row r="84" spans="2:16">
      <c r="B84" s="303">
        <v>91</v>
      </c>
      <c r="C84" s="106" t="s">
        <v>2011</v>
      </c>
      <c r="D84" s="32"/>
      <c r="E84" s="342" t="s">
        <v>2317</v>
      </c>
      <c r="F84" s="339" t="s">
        <v>2318</v>
      </c>
      <c r="G84" s="305"/>
      <c r="H84" s="324"/>
      <c r="I84" s="248"/>
      <c r="J84" s="197"/>
      <c r="K84" s="197"/>
      <c r="L84" s="197"/>
      <c r="M84" s="197"/>
      <c r="N84" s="197"/>
      <c r="O84" s="197"/>
      <c r="P84" s="197"/>
    </row>
    <row r="85" spans="2:16">
      <c r="B85" s="303">
        <v>92</v>
      </c>
      <c r="C85" s="106" t="s">
        <v>2012</v>
      </c>
      <c r="D85" s="106"/>
      <c r="E85" s="342" t="s">
        <v>2320</v>
      </c>
      <c r="F85" s="339" t="s">
        <v>2319</v>
      </c>
      <c r="G85" s="305"/>
      <c r="H85" s="324"/>
      <c r="I85" s="248"/>
      <c r="J85" s="197"/>
      <c r="K85" s="197"/>
      <c r="L85" s="197"/>
      <c r="M85" s="197"/>
      <c r="N85" s="197"/>
      <c r="O85" s="197"/>
      <c r="P85" s="197"/>
    </row>
    <row r="86" spans="2:16" ht="25.5">
      <c r="B86" s="303">
        <v>93</v>
      </c>
      <c r="C86" s="106" t="s">
        <v>2013</v>
      </c>
      <c r="D86" s="32">
        <v>58</v>
      </c>
      <c r="E86" s="337">
        <v>15.1</v>
      </c>
      <c r="F86" s="304" t="s">
        <v>2260</v>
      </c>
      <c r="G86" s="305" t="s">
        <v>2292</v>
      </c>
      <c r="H86" s="324">
        <f t="shared" si="5"/>
        <v>1</v>
      </c>
      <c r="I86" s="248"/>
      <c r="J86" s="197">
        <v>1</v>
      </c>
      <c r="K86" s="197"/>
      <c r="L86" s="197"/>
      <c r="M86" s="197"/>
      <c r="N86" s="197"/>
      <c r="O86" s="197"/>
      <c r="P86" s="197"/>
    </row>
    <row r="87" spans="2:16">
      <c r="B87" s="303">
        <v>94</v>
      </c>
      <c r="C87" s="106" t="s">
        <v>2014</v>
      </c>
      <c r="D87" s="106">
        <v>59</v>
      </c>
      <c r="E87" s="337">
        <v>15.2</v>
      </c>
      <c r="F87" s="304" t="s">
        <v>2261</v>
      </c>
      <c r="G87" s="305" t="s">
        <v>94</v>
      </c>
      <c r="H87" s="324">
        <f t="shared" si="5"/>
        <v>1</v>
      </c>
      <c r="I87" s="248"/>
      <c r="J87" s="197">
        <v>1</v>
      </c>
      <c r="K87" s="197"/>
      <c r="L87" s="197"/>
      <c r="M87" s="197"/>
      <c r="N87" s="197"/>
      <c r="O87" s="197"/>
      <c r="P87" s="197"/>
    </row>
    <row r="88" spans="2:16">
      <c r="B88" s="303">
        <v>95</v>
      </c>
      <c r="C88" s="106" t="s">
        <v>2015</v>
      </c>
      <c r="D88" s="32">
        <v>60</v>
      </c>
      <c r="E88" s="337">
        <v>15.3</v>
      </c>
      <c r="F88" s="304" t="s">
        <v>2262</v>
      </c>
      <c r="G88" s="305" t="s">
        <v>94</v>
      </c>
      <c r="H88" s="324">
        <f t="shared" si="5"/>
        <v>1</v>
      </c>
      <c r="I88" s="248"/>
      <c r="J88" s="197">
        <v>1</v>
      </c>
      <c r="K88" s="197"/>
      <c r="L88" s="197"/>
      <c r="M88" s="197"/>
      <c r="N88" s="197"/>
      <c r="O88" s="197"/>
      <c r="P88" s="197"/>
    </row>
    <row r="89" spans="2:16">
      <c r="B89" s="303">
        <v>96</v>
      </c>
      <c r="C89" s="106" t="s">
        <v>2016</v>
      </c>
      <c r="D89" s="106"/>
      <c r="E89" s="342" t="s">
        <v>2321</v>
      </c>
      <c r="F89" s="339" t="s">
        <v>2324</v>
      </c>
      <c r="G89" s="305"/>
      <c r="H89" s="324"/>
      <c r="I89" s="248"/>
      <c r="J89" s="197"/>
      <c r="K89" s="197"/>
      <c r="L89" s="197"/>
      <c r="M89" s="197"/>
      <c r="N89" s="197"/>
      <c r="O89" s="197"/>
      <c r="P89" s="197"/>
    </row>
    <row r="90" spans="2:16">
      <c r="B90" s="303">
        <v>97</v>
      </c>
      <c r="C90" s="106" t="s">
        <v>2017</v>
      </c>
      <c r="D90" s="32"/>
      <c r="E90" s="342" t="s">
        <v>2322</v>
      </c>
      <c r="F90" s="339" t="s">
        <v>2325</v>
      </c>
      <c r="G90" s="305"/>
      <c r="H90" s="324"/>
      <c r="I90" s="248"/>
      <c r="J90" s="197"/>
      <c r="K90" s="197"/>
      <c r="L90" s="197"/>
      <c r="M90" s="197"/>
      <c r="N90" s="197"/>
      <c r="O90" s="197"/>
      <c r="P90" s="197"/>
    </row>
    <row r="91" spans="2:16">
      <c r="B91" s="303">
        <v>98</v>
      </c>
      <c r="C91" s="106" t="s">
        <v>2018</v>
      </c>
      <c r="D91" s="106"/>
      <c r="E91" s="342" t="s">
        <v>2323</v>
      </c>
      <c r="F91" s="339" t="s">
        <v>22</v>
      </c>
      <c r="G91" s="305"/>
      <c r="H91" s="324"/>
      <c r="I91" s="248"/>
      <c r="J91" s="197"/>
      <c r="K91" s="197"/>
      <c r="L91" s="197"/>
      <c r="M91" s="197"/>
      <c r="N91" s="197"/>
      <c r="O91" s="197"/>
      <c r="P91" s="197"/>
    </row>
    <row r="92" spans="2:16">
      <c r="B92" s="303">
        <v>99</v>
      </c>
      <c r="C92" s="106" t="s">
        <v>2019</v>
      </c>
      <c r="D92" s="106">
        <v>61</v>
      </c>
      <c r="E92" s="337">
        <v>18.100000000000001</v>
      </c>
      <c r="F92" s="304" t="s">
        <v>2266</v>
      </c>
      <c r="G92" s="305" t="s">
        <v>521</v>
      </c>
      <c r="H92" s="324">
        <f>+H42</f>
        <v>842.66000000000008</v>
      </c>
      <c r="I92" s="248"/>
      <c r="J92" s="197"/>
      <c r="K92" s="197"/>
      <c r="L92" s="197"/>
      <c r="M92" s="197"/>
      <c r="N92" s="197"/>
      <c r="O92" s="197"/>
      <c r="P92" s="197"/>
    </row>
    <row r="93" spans="2:16">
      <c r="B93" s="303">
        <v>100</v>
      </c>
      <c r="C93" s="106" t="s">
        <v>2020</v>
      </c>
      <c r="D93" s="106">
        <v>62</v>
      </c>
      <c r="E93" s="337">
        <v>18.2</v>
      </c>
      <c r="F93" s="304" t="s">
        <v>2267</v>
      </c>
      <c r="G93" s="305" t="s">
        <v>521</v>
      </c>
      <c r="H93" s="324">
        <f t="shared" si="5"/>
        <v>640</v>
      </c>
      <c r="I93" s="248"/>
      <c r="J93" s="418">
        <v>640</v>
      </c>
      <c r="K93" s="197"/>
      <c r="L93" s="197"/>
      <c r="M93" s="197"/>
      <c r="N93" s="197"/>
      <c r="O93" s="197"/>
      <c r="P93" s="197"/>
    </row>
    <row r="94" spans="2:16" ht="25.5">
      <c r="B94" s="303">
        <v>101</v>
      </c>
      <c r="C94" s="106" t="s">
        <v>2021</v>
      </c>
      <c r="D94" s="106">
        <v>63</v>
      </c>
      <c r="E94" s="337">
        <v>18.3</v>
      </c>
      <c r="F94" s="323" t="s">
        <v>2268</v>
      </c>
      <c r="G94" s="305" t="s">
        <v>521</v>
      </c>
      <c r="H94" s="324">
        <f>+H44</f>
        <v>297</v>
      </c>
      <c r="I94" s="248"/>
      <c r="J94" s="197"/>
      <c r="K94" s="197"/>
      <c r="L94" s="197"/>
      <c r="M94" s="197"/>
      <c r="N94" s="197"/>
      <c r="O94" s="197"/>
      <c r="P94" s="197"/>
    </row>
    <row r="95" spans="2:16">
      <c r="B95" s="303">
        <v>102</v>
      </c>
      <c r="C95" s="106" t="s">
        <v>2022</v>
      </c>
      <c r="D95" s="106">
        <v>64</v>
      </c>
      <c r="E95" s="337">
        <v>18.399999999999999</v>
      </c>
      <c r="F95" s="323" t="s">
        <v>2269</v>
      </c>
      <c r="G95" s="305" t="s">
        <v>521</v>
      </c>
      <c r="H95" s="324">
        <f t="shared" si="5"/>
        <v>20</v>
      </c>
      <c r="I95" s="248"/>
      <c r="J95" s="418">
        <v>20</v>
      </c>
      <c r="K95" s="197"/>
      <c r="L95" s="197"/>
      <c r="M95" s="197"/>
      <c r="N95" s="197"/>
      <c r="O95" s="197"/>
      <c r="P95" s="197"/>
    </row>
    <row r="96" spans="2:16">
      <c r="B96" s="303">
        <v>103</v>
      </c>
      <c r="C96" s="106" t="s">
        <v>2023</v>
      </c>
      <c r="D96" s="106"/>
      <c r="E96" s="343" t="s">
        <v>2328</v>
      </c>
      <c r="F96" s="338" t="s">
        <v>2326</v>
      </c>
      <c r="G96" s="305"/>
      <c r="H96" s="324"/>
      <c r="I96" s="248"/>
      <c r="J96" s="197"/>
      <c r="K96" s="197"/>
      <c r="L96" s="197"/>
      <c r="M96" s="197"/>
      <c r="N96" s="197"/>
      <c r="O96" s="197"/>
      <c r="P96" s="197"/>
    </row>
    <row r="97" spans="2:16">
      <c r="B97" s="302">
        <v>102</v>
      </c>
      <c r="C97" s="106" t="s">
        <v>2024</v>
      </c>
      <c r="D97" s="32"/>
      <c r="E97" s="343" t="s">
        <v>2329</v>
      </c>
      <c r="F97" s="338" t="s">
        <v>2327</v>
      </c>
      <c r="G97" s="305"/>
      <c r="H97" s="324"/>
      <c r="I97" s="248"/>
      <c r="J97" s="197"/>
      <c r="K97" s="197"/>
      <c r="L97" s="197"/>
      <c r="M97" s="197"/>
      <c r="N97" s="197"/>
      <c r="O97" s="197"/>
      <c r="P97" s="197"/>
    </row>
    <row r="98" spans="2:16">
      <c r="B98" s="302">
        <v>103</v>
      </c>
      <c r="C98" s="106" t="s">
        <v>2025</v>
      </c>
      <c r="D98" s="106">
        <v>65</v>
      </c>
      <c r="E98" s="337">
        <v>20.100000000000001</v>
      </c>
      <c r="F98" s="304" t="s">
        <v>2272</v>
      </c>
      <c r="G98" s="305" t="s">
        <v>94</v>
      </c>
      <c r="H98" s="324">
        <f t="shared" si="5"/>
        <v>1</v>
      </c>
      <c r="I98" s="248"/>
      <c r="J98" s="197">
        <v>1</v>
      </c>
      <c r="K98" s="197"/>
      <c r="L98" s="197"/>
      <c r="M98" s="197"/>
      <c r="N98" s="197"/>
      <c r="O98" s="197"/>
      <c r="P98" s="197"/>
    </row>
    <row r="99" spans="2:16" ht="25.5">
      <c r="B99" s="302">
        <v>104</v>
      </c>
      <c r="C99" s="106" t="s">
        <v>2026</v>
      </c>
      <c r="D99" s="32">
        <v>66</v>
      </c>
      <c r="E99" s="337">
        <v>20.2</v>
      </c>
      <c r="F99" s="304" t="s">
        <v>2273</v>
      </c>
      <c r="G99" s="305" t="s">
        <v>94</v>
      </c>
      <c r="H99" s="324">
        <f t="shared" si="5"/>
        <v>1</v>
      </c>
      <c r="I99" s="248"/>
      <c r="J99" s="197">
        <v>1</v>
      </c>
      <c r="K99" s="197"/>
      <c r="L99" s="197"/>
      <c r="M99" s="197"/>
      <c r="N99" s="197"/>
      <c r="O99" s="197"/>
      <c r="P99" s="197"/>
    </row>
    <row r="100" spans="2:16">
      <c r="B100" s="302">
        <v>105</v>
      </c>
      <c r="C100" s="106" t="s">
        <v>2027</v>
      </c>
      <c r="D100" s="106"/>
      <c r="E100" s="337"/>
      <c r="F100" s="304"/>
      <c r="G100" s="305"/>
      <c r="H100" s="188"/>
      <c r="I100" s="248"/>
      <c r="J100" s="197"/>
      <c r="K100" s="197"/>
      <c r="L100" s="197"/>
      <c r="M100" s="197"/>
      <c r="N100" s="197"/>
      <c r="O100" s="197"/>
      <c r="P100" s="197"/>
    </row>
    <row r="101" spans="2:16">
      <c r="B101" s="302">
        <v>106</v>
      </c>
      <c r="C101" s="106" t="s">
        <v>2028</v>
      </c>
      <c r="D101" s="32"/>
      <c r="E101" s="337"/>
      <c r="F101" s="304"/>
      <c r="G101" s="305"/>
      <c r="H101" s="188"/>
      <c r="I101" s="248"/>
      <c r="J101" s="197"/>
      <c r="K101" s="197"/>
      <c r="L101" s="197"/>
      <c r="M101" s="197"/>
      <c r="N101" s="197"/>
      <c r="O101" s="197"/>
      <c r="P101" s="197"/>
    </row>
    <row r="102" spans="2:16">
      <c r="B102" s="302">
        <v>107</v>
      </c>
      <c r="C102" s="106" t="s">
        <v>2029</v>
      </c>
      <c r="D102" s="106"/>
      <c r="E102" s="337"/>
      <c r="F102" s="304"/>
      <c r="G102" s="305"/>
      <c r="H102" s="188"/>
      <c r="I102" s="248"/>
      <c r="J102" s="197"/>
      <c r="K102" s="197"/>
      <c r="L102" s="197"/>
      <c r="M102" s="197"/>
      <c r="N102" s="197"/>
      <c r="O102" s="197"/>
      <c r="P102" s="197"/>
    </row>
    <row r="103" spans="2:16">
      <c r="B103" s="302">
        <v>108</v>
      </c>
      <c r="C103" s="106" t="s">
        <v>2030</v>
      </c>
      <c r="D103" s="32"/>
      <c r="E103" s="337"/>
      <c r="F103" s="304"/>
      <c r="G103" s="305"/>
      <c r="H103" s="188"/>
      <c r="I103" s="248"/>
      <c r="J103" s="197"/>
      <c r="K103" s="197"/>
      <c r="L103" s="197"/>
      <c r="M103" s="197"/>
      <c r="N103" s="197"/>
      <c r="O103" s="197"/>
      <c r="P103" s="197"/>
    </row>
    <row r="104" spans="2:16">
      <c r="B104" s="302">
        <v>109</v>
      </c>
      <c r="C104" s="106" t="s">
        <v>2031</v>
      </c>
      <c r="D104" s="106"/>
      <c r="E104" s="337"/>
      <c r="F104" s="304"/>
      <c r="G104" s="305"/>
      <c r="H104" s="188"/>
      <c r="I104" s="248"/>
      <c r="J104" s="197"/>
      <c r="K104" s="197"/>
      <c r="L104" s="197"/>
      <c r="M104" s="197"/>
      <c r="N104" s="197"/>
      <c r="O104" s="197"/>
      <c r="P104" s="197"/>
    </row>
    <row r="105" spans="2:16">
      <c r="B105" s="302">
        <v>110</v>
      </c>
      <c r="C105" s="106" t="s">
        <v>2032</v>
      </c>
      <c r="D105" s="32"/>
      <c r="E105" s="337"/>
      <c r="F105" s="304"/>
      <c r="G105" s="305"/>
      <c r="H105" s="188"/>
      <c r="I105" s="248"/>
      <c r="J105" s="197"/>
      <c r="K105" s="197"/>
      <c r="L105" s="197"/>
      <c r="M105" s="197"/>
      <c r="N105" s="197"/>
      <c r="O105" s="197"/>
      <c r="P105" s="197"/>
    </row>
    <row r="106" spans="2:16">
      <c r="B106" s="302">
        <v>111</v>
      </c>
      <c r="C106" s="106" t="s">
        <v>2033</v>
      </c>
      <c r="D106" s="106"/>
      <c r="E106" s="337"/>
      <c r="F106" s="304"/>
      <c r="G106" s="305"/>
      <c r="H106" s="188"/>
      <c r="I106" s="248"/>
      <c r="J106" s="197"/>
      <c r="K106" s="197"/>
      <c r="L106" s="197"/>
      <c r="M106" s="197"/>
      <c r="N106" s="197"/>
      <c r="O106" s="197"/>
      <c r="P106" s="197"/>
    </row>
    <row r="107" spans="2:16">
      <c r="B107" s="302">
        <v>112</v>
      </c>
      <c r="C107" s="106" t="s">
        <v>2034</v>
      </c>
      <c r="D107" s="32"/>
      <c r="E107" s="337"/>
      <c r="F107" s="304"/>
      <c r="G107" s="305"/>
      <c r="H107" s="188"/>
      <c r="I107" s="248"/>
      <c r="J107" s="197"/>
      <c r="K107" s="197"/>
      <c r="L107" s="197"/>
      <c r="M107" s="197"/>
      <c r="N107" s="197"/>
      <c r="O107" s="197"/>
      <c r="P107" s="197"/>
    </row>
    <row r="108" spans="2:16">
      <c r="B108" s="302">
        <v>113</v>
      </c>
      <c r="C108" s="106" t="s">
        <v>2035</v>
      </c>
      <c r="D108" s="106"/>
      <c r="E108" s="337"/>
      <c r="F108" s="304"/>
      <c r="G108" s="305"/>
      <c r="H108" s="188"/>
      <c r="I108" s="248"/>
      <c r="J108" s="197"/>
      <c r="K108" s="197"/>
      <c r="L108" s="197"/>
      <c r="M108" s="197"/>
      <c r="N108" s="197"/>
      <c r="O108" s="197"/>
      <c r="P108" s="197"/>
    </row>
    <row r="109" spans="2:16">
      <c r="B109" s="302">
        <v>114</v>
      </c>
      <c r="C109" s="106" t="s">
        <v>2036</v>
      </c>
      <c r="D109" s="32"/>
      <c r="E109" s="337"/>
      <c r="F109" s="304"/>
      <c r="G109" s="305"/>
      <c r="H109" s="188"/>
      <c r="I109" s="248"/>
      <c r="J109" s="197"/>
      <c r="K109" s="197"/>
      <c r="L109" s="197"/>
      <c r="M109" s="197"/>
      <c r="N109" s="197"/>
      <c r="O109" s="197"/>
      <c r="P109" s="197"/>
    </row>
    <row r="110" spans="2:16">
      <c r="B110" s="302">
        <v>115</v>
      </c>
      <c r="C110" s="106" t="s">
        <v>2035</v>
      </c>
      <c r="D110" s="106"/>
      <c r="E110" s="337"/>
      <c r="F110" s="304"/>
      <c r="G110" s="305"/>
      <c r="H110" s="188"/>
      <c r="I110" s="248"/>
      <c r="J110" s="197"/>
      <c r="K110" s="197"/>
      <c r="L110" s="197"/>
      <c r="M110" s="197"/>
      <c r="N110" s="197"/>
      <c r="O110" s="197"/>
      <c r="P110" s="197"/>
    </row>
    <row r="111" spans="2:16">
      <c r="B111" s="302">
        <v>116</v>
      </c>
      <c r="C111" s="106" t="s">
        <v>2036</v>
      </c>
      <c r="D111" s="32"/>
      <c r="E111" s="337"/>
      <c r="F111" s="304"/>
      <c r="G111" s="305"/>
      <c r="H111" s="188"/>
      <c r="I111" s="248"/>
      <c r="J111" s="197"/>
      <c r="K111" s="197"/>
      <c r="L111" s="197"/>
      <c r="M111" s="197"/>
      <c r="N111" s="197"/>
      <c r="O111" s="197"/>
      <c r="P111" s="197"/>
    </row>
    <row r="112" spans="2:16">
      <c r="B112" s="302">
        <v>117</v>
      </c>
      <c r="C112" s="106" t="s">
        <v>2037</v>
      </c>
      <c r="D112" s="106"/>
      <c r="E112" s="337"/>
      <c r="F112" s="304"/>
      <c r="G112" s="305"/>
      <c r="H112" s="188"/>
      <c r="I112" s="248"/>
      <c r="J112" s="197"/>
      <c r="K112" s="197"/>
      <c r="L112" s="197"/>
      <c r="M112" s="197"/>
      <c r="N112" s="197"/>
      <c r="O112" s="197"/>
      <c r="P112" s="197"/>
    </row>
    <row r="113" spans="2:16">
      <c r="B113" s="31"/>
      <c r="C113" s="106"/>
      <c r="D113" s="106"/>
      <c r="E113" s="344"/>
      <c r="F113" s="190"/>
      <c r="G113" s="189"/>
      <c r="H113" s="188"/>
      <c r="I113" s="248"/>
      <c r="J113" s="197"/>
      <c r="K113" s="197"/>
      <c r="L113" s="197"/>
      <c r="M113" s="197"/>
      <c r="N113" s="197"/>
      <c r="O113" s="197"/>
      <c r="P113" s="197"/>
    </row>
    <row r="114" spans="2:16">
      <c r="B114" s="31"/>
      <c r="C114" s="32"/>
      <c r="D114" s="106"/>
      <c r="E114" s="344"/>
      <c r="F114" s="190"/>
      <c r="G114" s="189"/>
      <c r="H114" s="188"/>
      <c r="I114" s="248"/>
      <c r="J114" s="197"/>
      <c r="K114" s="197"/>
      <c r="L114" s="197"/>
      <c r="M114" s="197"/>
      <c r="N114" s="197"/>
      <c r="O114" s="197"/>
      <c r="P114" s="197"/>
    </row>
    <row r="115" spans="2:16">
      <c r="B115" s="31"/>
      <c r="C115" s="32"/>
      <c r="D115" s="106"/>
      <c r="E115" s="185"/>
      <c r="F115" s="186"/>
      <c r="G115" s="187"/>
      <c r="H115" s="186"/>
      <c r="I115" s="186"/>
      <c r="J115" s="198"/>
      <c r="K115" s="198"/>
      <c r="L115" s="198"/>
      <c r="M115" s="198"/>
      <c r="N115" s="198"/>
    </row>
    <row r="116" spans="2:16">
      <c r="B116" s="31"/>
      <c r="C116" s="32"/>
      <c r="D116" s="254"/>
      <c r="E116" s="185"/>
      <c r="F116" s="186"/>
      <c r="G116" s="187"/>
      <c r="H116" s="186"/>
      <c r="I116" s="186"/>
      <c r="J116" s="198"/>
      <c r="K116" s="198"/>
      <c r="L116" s="198"/>
      <c r="M116" s="198"/>
      <c r="N116" s="198"/>
    </row>
    <row r="117" spans="2:16">
      <c r="B117" s="31"/>
      <c r="C117" s="32"/>
      <c r="D117" s="254"/>
      <c r="E117" s="185"/>
      <c r="F117" s="186"/>
      <c r="G117" s="187"/>
      <c r="H117" s="186"/>
      <c r="I117" s="186"/>
      <c r="J117" s="198"/>
      <c r="K117" s="198"/>
      <c r="L117" s="198"/>
      <c r="M117" s="198"/>
      <c r="N117" s="198"/>
    </row>
    <row r="118" spans="2:16">
      <c r="B118" s="31"/>
      <c r="C118" s="32"/>
      <c r="D118" s="254"/>
      <c r="E118" s="191"/>
      <c r="F118" s="192"/>
      <c r="G118" s="187"/>
      <c r="H118" s="186"/>
      <c r="I118" s="186"/>
      <c r="J118" s="198"/>
      <c r="K118" s="198"/>
      <c r="L118" s="198"/>
      <c r="M118" s="198"/>
      <c r="N118" s="198"/>
    </row>
    <row r="119" spans="2:16">
      <c r="B119" s="31"/>
      <c r="C119" s="32"/>
      <c r="D119" s="254"/>
      <c r="E119" s="185"/>
      <c r="F119" s="186"/>
      <c r="G119" s="187"/>
      <c r="H119" s="186"/>
      <c r="I119" s="186"/>
      <c r="J119" s="198"/>
      <c r="K119" s="198"/>
      <c r="L119" s="198"/>
      <c r="M119" s="198"/>
      <c r="N119" s="198"/>
    </row>
    <row r="120" spans="2:16">
      <c r="B120" s="31"/>
      <c r="C120" s="32"/>
      <c r="D120" s="254"/>
      <c r="E120" s="185"/>
      <c r="F120" s="186"/>
      <c r="G120" s="187"/>
      <c r="H120" s="186"/>
      <c r="I120" s="186"/>
      <c r="J120" s="198"/>
      <c r="K120" s="198"/>
      <c r="L120" s="198"/>
      <c r="M120" s="198"/>
      <c r="N120" s="198"/>
    </row>
    <row r="121" spans="2:16">
      <c r="B121" s="31"/>
      <c r="C121" s="32"/>
      <c r="D121" s="254"/>
      <c r="E121" s="185"/>
      <c r="F121" s="186"/>
      <c r="G121" s="187"/>
      <c r="H121" s="186"/>
      <c r="I121" s="186"/>
      <c r="J121" s="198"/>
      <c r="K121" s="198"/>
      <c r="L121" s="198"/>
      <c r="M121" s="198"/>
      <c r="N121" s="198"/>
    </row>
    <row r="122" spans="2:16">
      <c r="B122" s="31"/>
      <c r="C122" s="32"/>
      <c r="D122" s="254"/>
      <c r="E122" s="185"/>
      <c r="F122" s="186"/>
      <c r="G122" s="187"/>
      <c r="H122" s="186"/>
      <c r="I122" s="186"/>
      <c r="J122" s="198"/>
      <c r="K122" s="198"/>
      <c r="L122" s="198"/>
      <c r="M122" s="198"/>
      <c r="N122" s="198"/>
    </row>
    <row r="123" spans="2:16">
      <c r="B123" s="31"/>
      <c r="C123" s="32"/>
      <c r="D123" s="254"/>
      <c r="E123" s="56"/>
      <c r="F123" s="1"/>
      <c r="J123" s="198"/>
      <c r="K123" s="198"/>
      <c r="L123" s="198"/>
      <c r="M123" s="198"/>
      <c r="N123" s="198"/>
    </row>
    <row r="124" spans="2:16">
      <c r="B124" s="31"/>
      <c r="C124" s="32"/>
      <c r="D124" s="254"/>
    </row>
    <row r="125" spans="2:16">
      <c r="B125" s="31"/>
      <c r="C125" s="32"/>
      <c r="D125" s="254"/>
    </row>
    <row r="126" spans="2:16">
      <c r="B126" s="31"/>
      <c r="C126" s="32"/>
      <c r="D126" s="254"/>
    </row>
    <row r="127" spans="2:16">
      <c r="B127" s="31"/>
      <c r="C127" s="32"/>
      <c r="D127" s="254"/>
      <c r="E127" s="56"/>
      <c r="F127" s="1"/>
    </row>
    <row r="128" spans="2:16">
      <c r="B128" s="31"/>
      <c r="C128" s="32"/>
      <c r="D128" s="254"/>
    </row>
    <row r="129" spans="2:6">
      <c r="B129" s="31"/>
      <c r="C129" s="32"/>
      <c r="D129" s="254"/>
    </row>
    <row r="130" spans="2:6">
      <c r="B130" s="31"/>
      <c r="C130" s="32"/>
      <c r="D130" s="254"/>
    </row>
    <row r="131" spans="2:6">
      <c r="B131" s="31"/>
      <c r="C131" s="32"/>
      <c r="D131" s="254"/>
    </row>
    <row r="132" spans="2:6">
      <c r="B132" s="31"/>
      <c r="C132" s="32"/>
      <c r="D132" s="254"/>
      <c r="E132" s="56"/>
      <c r="F132" s="1"/>
    </row>
    <row r="133" spans="2:6">
      <c r="B133" s="31"/>
      <c r="C133" s="32"/>
      <c r="D133" s="254"/>
    </row>
    <row r="134" spans="2:6">
      <c r="B134" s="31"/>
      <c r="C134" s="32"/>
      <c r="D134" s="254"/>
    </row>
    <row r="135" spans="2:6">
      <c r="B135" s="31"/>
      <c r="C135" s="32"/>
      <c r="D135" s="254"/>
    </row>
    <row r="136" spans="2:6">
      <c r="B136" s="31"/>
      <c r="C136" s="32"/>
      <c r="D136" s="254"/>
    </row>
    <row r="137" spans="2:6">
      <c r="B137" s="31"/>
      <c r="C137" s="32"/>
      <c r="D137" s="254"/>
      <c r="E137" s="56"/>
      <c r="F137" s="1"/>
    </row>
    <row r="138" spans="2:6">
      <c r="B138" s="31"/>
      <c r="C138" s="32"/>
      <c r="D138" s="254"/>
    </row>
    <row r="139" spans="2:6">
      <c r="B139" s="31"/>
      <c r="C139" s="32"/>
      <c r="D139" s="254"/>
    </row>
    <row r="140" spans="2:6">
      <c r="B140" s="31"/>
      <c r="C140" s="32"/>
      <c r="D140" s="254"/>
    </row>
    <row r="141" spans="2:6">
      <c r="B141" s="31"/>
      <c r="C141" s="32"/>
      <c r="D141" s="254"/>
    </row>
    <row r="142" spans="2:6">
      <c r="B142" s="31"/>
      <c r="C142" s="32"/>
      <c r="D142" s="254"/>
    </row>
    <row r="143" spans="2:6">
      <c r="B143" s="31"/>
      <c r="C143" s="32"/>
      <c r="D143" s="254"/>
      <c r="E143" s="56"/>
      <c r="F143" s="1"/>
    </row>
    <row r="144" spans="2:6">
      <c r="B144" s="31"/>
      <c r="C144" s="32"/>
      <c r="D144" s="254"/>
    </row>
    <row r="145" spans="2:6">
      <c r="B145" s="31"/>
      <c r="C145" s="32"/>
      <c r="D145" s="254"/>
    </row>
    <row r="146" spans="2:6">
      <c r="B146" s="31"/>
      <c r="C146" s="32"/>
      <c r="D146" s="254"/>
    </row>
    <row r="147" spans="2:6">
      <c r="B147" s="31"/>
      <c r="C147" s="32"/>
      <c r="D147" s="254"/>
    </row>
    <row r="148" spans="2:6">
      <c r="B148" s="31"/>
      <c r="C148" s="32"/>
      <c r="D148" s="254"/>
    </row>
    <row r="149" spans="2:6">
      <c r="B149" s="31"/>
      <c r="C149" s="32"/>
      <c r="D149" s="254"/>
      <c r="E149" s="56"/>
      <c r="F149" s="1"/>
    </row>
    <row r="150" spans="2:6">
      <c r="B150" s="31"/>
      <c r="C150" s="32"/>
      <c r="D150" s="254"/>
    </row>
    <row r="151" spans="2:6">
      <c r="B151" s="31"/>
      <c r="C151" s="32"/>
      <c r="D151" s="254"/>
    </row>
    <row r="152" spans="2:6">
      <c r="B152" s="31"/>
      <c r="C152" s="32"/>
      <c r="D152" s="254"/>
    </row>
    <row r="153" spans="2:6">
      <c r="B153" s="31"/>
      <c r="C153" s="32"/>
      <c r="D153" s="254"/>
    </row>
    <row r="154" spans="2:6">
      <c r="B154" s="31"/>
      <c r="C154" s="32"/>
      <c r="D154" s="254"/>
    </row>
    <row r="155" spans="2:6">
      <c r="B155" s="31"/>
      <c r="C155" s="32"/>
      <c r="D155" s="254"/>
      <c r="E155" s="56"/>
      <c r="F155" s="1"/>
    </row>
    <row r="156" spans="2:6">
      <c r="B156" s="31"/>
      <c r="C156" s="32"/>
      <c r="D156" s="254"/>
    </row>
    <row r="157" spans="2:6">
      <c r="B157" s="31"/>
      <c r="C157" s="32"/>
      <c r="D157" s="254"/>
    </row>
    <row r="158" spans="2:6">
      <c r="B158" s="31"/>
      <c r="C158" s="32"/>
      <c r="D158" s="254"/>
    </row>
    <row r="159" spans="2:6">
      <c r="B159" s="31"/>
      <c r="C159" s="32"/>
      <c r="D159" s="254"/>
      <c r="E159" s="56"/>
      <c r="F159" s="1"/>
    </row>
    <row r="160" spans="2:6">
      <c r="B160" s="31"/>
      <c r="C160" s="32"/>
      <c r="D160" s="254"/>
    </row>
    <row r="161" spans="2:6">
      <c r="B161" s="31"/>
      <c r="C161" s="32"/>
      <c r="D161" s="254"/>
    </row>
    <row r="162" spans="2:6">
      <c r="B162" s="31"/>
      <c r="C162" s="32"/>
      <c r="D162" s="254"/>
    </row>
    <row r="163" spans="2:6">
      <c r="B163" s="31"/>
      <c r="C163" s="32"/>
      <c r="D163" s="254"/>
      <c r="E163" s="56"/>
      <c r="F163" s="1"/>
    </row>
    <row r="164" spans="2:6">
      <c r="B164" s="31"/>
      <c r="C164" s="32"/>
      <c r="D164" s="254"/>
    </row>
    <row r="165" spans="2:6">
      <c r="B165" s="31"/>
      <c r="C165" s="32"/>
      <c r="D165" s="254"/>
    </row>
    <row r="166" spans="2:6">
      <c r="B166" s="31"/>
      <c r="C166" s="32"/>
      <c r="D166" s="254"/>
    </row>
    <row r="167" spans="2:6">
      <c r="B167" s="31"/>
      <c r="C167" s="32"/>
      <c r="D167" s="254"/>
      <c r="E167" s="56"/>
      <c r="F167" s="1"/>
    </row>
    <row r="168" spans="2:6">
      <c r="B168" s="31"/>
      <c r="C168" s="32"/>
      <c r="D168" s="254"/>
    </row>
    <row r="169" spans="2:6">
      <c r="B169" s="31"/>
      <c r="C169" s="32"/>
      <c r="D169" s="254"/>
    </row>
    <row r="170" spans="2:6">
      <c r="B170" s="31"/>
      <c r="C170" s="32"/>
      <c r="D170" s="254"/>
    </row>
    <row r="171" spans="2:6">
      <c r="B171" s="31"/>
      <c r="C171" s="32"/>
      <c r="D171" s="254"/>
    </row>
  </sheetData>
  <mergeCells count="3">
    <mergeCell ref="B1:G1"/>
    <mergeCell ref="K13:M13"/>
    <mergeCell ref="N13:P13"/>
  </mergeCells>
  <phoneticPr fontId="18" type="noConversion"/>
  <pageMargins left="0.19685039370078741" right="0.19685039370078741" top="0.19685039370078741" bottom="0.19685039370078741" header="0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S3114"/>
  <sheetViews>
    <sheetView tabSelected="1" view="pageBreakPreview" topLeftCell="A752" zoomScale="70" zoomScaleNormal="70" zoomScaleSheetLayoutView="70" workbookViewId="0">
      <selection activeCell="N770" sqref="N770"/>
    </sheetView>
  </sheetViews>
  <sheetFormatPr baseColWidth="10" defaultRowHeight="15.75"/>
  <cols>
    <col min="1" max="1" width="8.42578125" style="14" customWidth="1"/>
    <col min="2" max="2" width="12.7109375" style="14" bestFit="1" customWidth="1"/>
    <col min="3" max="3" width="4.7109375" style="14" customWidth="1"/>
    <col min="4" max="4" width="3.42578125" style="14" customWidth="1"/>
    <col min="5" max="5" width="49.28515625" style="14" bestFit="1" customWidth="1"/>
    <col min="6" max="6" width="15.7109375" style="14" customWidth="1"/>
    <col min="7" max="7" width="8.7109375" style="14" customWidth="1"/>
    <col min="8" max="8" width="17.85546875" style="14" customWidth="1"/>
    <col min="9" max="9" width="8.7109375" style="14" customWidth="1"/>
    <col min="10" max="10" width="20.7109375" style="14" customWidth="1"/>
    <col min="11" max="11" width="8.7109375" style="14" customWidth="1"/>
    <col min="12" max="12" width="3.28515625" style="14" customWidth="1"/>
    <col min="13" max="13" width="11.42578125" style="14"/>
    <col min="14" max="14" width="17.7109375" style="14" customWidth="1"/>
    <col min="15" max="15" width="16.28515625" style="29" customWidth="1"/>
    <col min="16" max="16" width="17" style="14" customWidth="1"/>
    <col min="17" max="17" width="11.42578125" style="14"/>
    <col min="18" max="18" width="18.140625" style="29" customWidth="1"/>
    <col min="19" max="16384" width="11.42578125" style="14"/>
  </cols>
  <sheetData>
    <row r="1" spans="1:17" ht="5.0999999999999996" customHeight="1" thickBot="1"/>
    <row r="2" spans="1:17" ht="14.25" customHeight="1" thickTop="1">
      <c r="D2" s="15"/>
      <c r="E2" s="16"/>
      <c r="F2" s="16"/>
      <c r="G2" s="16"/>
      <c r="H2" s="16"/>
      <c r="I2" s="16"/>
      <c r="J2" s="16"/>
      <c r="K2" s="16"/>
      <c r="L2" s="17"/>
    </row>
    <row r="3" spans="1:17" ht="48" customHeight="1">
      <c r="A3" s="14" t="s">
        <v>1248</v>
      </c>
      <c r="D3" s="18"/>
      <c r="E3" s="601" t="str">
        <f>VLOOKUP($A3,DATRUB,4,FALSE)</f>
        <v>MINISTERIO DEL INTERIOR, OBRAS PÚBLICAS Y VIVIENDA PROGRAMA NACIONAL DE INFRAESTRUCTURA UNIVERSITARIA</v>
      </c>
      <c r="F3" s="601"/>
      <c r="G3" s="601"/>
      <c r="H3" s="601"/>
      <c r="I3" s="601"/>
      <c r="J3" s="601"/>
      <c r="K3" s="601"/>
      <c r="L3" s="20"/>
    </row>
    <row r="4" spans="1:17" ht="22.5" customHeight="1">
      <c r="A4" s="14" t="s">
        <v>1249</v>
      </c>
      <c r="D4" s="18"/>
      <c r="E4" s="602" t="str">
        <f>VLOOKUP($A4,DATRUB,4,FALSE)</f>
        <v>COMITENTE: UNIVERSIDAD NACIONAL DE SAN JUAN</v>
      </c>
      <c r="F4" s="602"/>
      <c r="G4" s="602"/>
      <c r="H4" s="602"/>
      <c r="I4" s="602"/>
      <c r="J4" s="602"/>
      <c r="K4" s="602"/>
      <c r="L4" s="20"/>
    </row>
    <row r="5" spans="1:17" ht="22.5" customHeight="1">
      <c r="A5" s="14" t="s">
        <v>1247</v>
      </c>
      <c r="D5" s="33"/>
      <c r="E5" s="602" t="str">
        <f>VLOOKUP($A5,DATRUB,4,FALSE)</f>
        <v>LICITACIÓN PÚBLICA NACIONAL N° CU-011/16</v>
      </c>
      <c r="F5" s="602"/>
      <c r="G5" s="602"/>
      <c r="H5" s="602"/>
      <c r="I5" s="602"/>
      <c r="J5" s="602"/>
      <c r="K5" s="602"/>
      <c r="L5" s="34"/>
      <c r="P5" s="26" t="s">
        <v>1882</v>
      </c>
      <c r="Q5" s="255">
        <v>0.04</v>
      </c>
    </row>
    <row r="6" spans="1:17" ht="34.5" customHeight="1">
      <c r="A6" s="14" t="s">
        <v>1885</v>
      </c>
      <c r="D6" s="18"/>
      <c r="E6" s="601" t="str">
        <f>VLOOKUP($A6,DATRUB,4,FALSE)</f>
        <v>OBRA: EDIFICIO SEDE JÁCHAL - CONSTRUCCIÓN DE AULAS</v>
      </c>
      <c r="F6" s="601"/>
      <c r="G6" s="601"/>
      <c r="H6" s="601"/>
      <c r="I6" s="601"/>
      <c r="J6" s="601"/>
      <c r="K6" s="601"/>
      <c r="L6" s="20"/>
      <c r="P6" s="26" t="s">
        <v>1883</v>
      </c>
      <c r="Q6" s="255">
        <v>1</v>
      </c>
    </row>
    <row r="7" spans="1:17" ht="22.5" customHeight="1">
      <c r="A7" s="14" t="s">
        <v>1887</v>
      </c>
      <c r="D7" s="18"/>
      <c r="E7" s="602"/>
      <c r="F7" s="602"/>
      <c r="G7" s="602"/>
      <c r="H7" s="602"/>
      <c r="I7" s="602"/>
      <c r="J7" s="602"/>
      <c r="K7" s="326"/>
      <c r="L7" s="20"/>
      <c r="P7" s="26" t="s">
        <v>1884</v>
      </c>
      <c r="Q7" s="255">
        <v>1</v>
      </c>
    </row>
    <row r="8" spans="1:17" ht="22.5" customHeight="1">
      <c r="A8" s="14" t="s">
        <v>1886</v>
      </c>
      <c r="D8" s="18"/>
      <c r="E8" s="604" t="str">
        <f>VLOOKUP($A8,DATRUB,4,FALSE)</f>
        <v>ANÁLISIS DE PRECIOS</v>
      </c>
      <c r="F8" s="605"/>
      <c r="G8" s="605"/>
      <c r="H8" s="605"/>
      <c r="I8" s="605"/>
      <c r="J8" s="605"/>
      <c r="K8" s="606"/>
      <c r="L8" s="20"/>
      <c r="P8" s="26" t="s">
        <v>2170</v>
      </c>
      <c r="Q8" s="255">
        <v>1.9</v>
      </c>
    </row>
    <row r="9" spans="1:17" ht="22.5" customHeight="1" thickBot="1">
      <c r="A9" s="14" t="s">
        <v>1888</v>
      </c>
      <c r="D9" s="21"/>
      <c r="E9" s="603" t="str">
        <f>VLOOKUP($A9,DATRUB,4,FALSE)</f>
        <v>MES DE ORIGEN: OCTUBRE 2016</v>
      </c>
      <c r="F9" s="603"/>
      <c r="G9" s="603"/>
      <c r="H9" s="603"/>
      <c r="I9" s="603"/>
      <c r="J9" s="603"/>
      <c r="K9" s="346"/>
      <c r="L9" s="22"/>
      <c r="N9" s="19"/>
      <c r="O9" s="256"/>
      <c r="P9" s="26" t="s">
        <v>2303</v>
      </c>
      <c r="Q9" s="255">
        <f>+'GG (2)'!G30</f>
        <v>1.6902999999999999</v>
      </c>
    </row>
    <row r="10" spans="1:17" ht="5.0999999999999996" customHeight="1" thickTop="1">
      <c r="N10" s="19"/>
      <c r="O10" s="256"/>
      <c r="P10" s="19"/>
    </row>
    <row r="11" spans="1:17" ht="5.0999999999999996" customHeight="1" thickBot="1"/>
    <row r="12" spans="1:17" ht="15.75" customHeight="1" thickTop="1">
      <c r="D12" s="15"/>
      <c r="E12" s="16"/>
      <c r="F12" s="16"/>
      <c r="G12" s="16"/>
      <c r="H12" s="16"/>
      <c r="I12" s="16"/>
      <c r="J12" s="16"/>
      <c r="K12" s="16"/>
      <c r="L12" s="17"/>
    </row>
    <row r="13" spans="1:17" ht="15.75" customHeight="1">
      <c r="A13" s="14" t="s">
        <v>1814</v>
      </c>
      <c r="D13" s="18"/>
      <c r="E13" s="23" t="s">
        <v>95</v>
      </c>
      <c r="F13" s="24" t="str">
        <f>VLOOKUP($A13,DATRUB,3,FALSE)</f>
        <v>RUBRO I:</v>
      </c>
      <c r="G13" s="599" t="str">
        <f>VLOOKUP($A13,DATRUB,4,FALSE)</f>
        <v>PRELIMINARES</v>
      </c>
      <c r="H13" s="599"/>
      <c r="I13" s="599"/>
      <c r="J13" s="599"/>
      <c r="K13" s="599"/>
      <c r="L13" s="20"/>
    </row>
    <row r="14" spans="1:17" ht="35.1" customHeight="1">
      <c r="A14" s="14" t="s">
        <v>1815</v>
      </c>
      <c r="D14" s="18"/>
      <c r="E14" s="23" t="s">
        <v>96</v>
      </c>
      <c r="F14" s="24">
        <f>VLOOKUP($A14,DATRUB,3,FALSE)</f>
        <v>1.1000000000000001</v>
      </c>
      <c r="G14" s="599" t="str">
        <f>VLOOKUP($A14,DATRUB,4,FALSE)</f>
        <v>Desmalezado, Limpieza, Replanteo y Demoliciones</v>
      </c>
      <c r="H14" s="599"/>
      <c r="I14" s="599"/>
      <c r="J14" s="599"/>
      <c r="K14" s="599"/>
      <c r="L14" s="20"/>
    </row>
    <row r="15" spans="1:17" ht="35.1" customHeight="1">
      <c r="A15" s="14" t="s">
        <v>1815</v>
      </c>
      <c r="D15" s="18"/>
      <c r="E15" s="23" t="s">
        <v>97</v>
      </c>
      <c r="F15" s="24">
        <f>VLOOKUP($A15,DATRUB,3,FALSE)</f>
        <v>1.1000000000000001</v>
      </c>
      <c r="G15" s="599" t="str">
        <f>VLOOKUP($A15,DATRUB,4,FALSE)</f>
        <v>Desmalezado, Limpieza, Replanteo y Demoliciones</v>
      </c>
      <c r="H15" s="599"/>
      <c r="I15" s="599"/>
      <c r="J15" s="599"/>
      <c r="K15" s="599"/>
      <c r="L15" s="20"/>
    </row>
    <row r="16" spans="1:17" ht="15.75" customHeight="1">
      <c r="D16" s="18"/>
      <c r="E16" s="23" t="s">
        <v>98</v>
      </c>
      <c r="F16" s="24" t="str">
        <f>VLOOKUP($A15,DATRUB,5,FALSE)</f>
        <v>m2</v>
      </c>
      <c r="G16" s="600"/>
      <c r="H16" s="600"/>
      <c r="I16" s="600"/>
      <c r="J16" s="600"/>
      <c r="K16" s="600"/>
      <c r="L16" s="20"/>
    </row>
    <row r="17" spans="1:13" ht="15.75" customHeight="1">
      <c r="D17" s="18"/>
      <c r="E17" s="24" t="s">
        <v>1158</v>
      </c>
      <c r="F17" s="25" t="s">
        <v>1250</v>
      </c>
      <c r="G17" s="24" t="s">
        <v>24</v>
      </c>
      <c r="H17" s="24" t="s">
        <v>25</v>
      </c>
      <c r="I17" s="24" t="s">
        <v>24</v>
      </c>
      <c r="J17" s="24" t="s">
        <v>2298</v>
      </c>
      <c r="K17" s="24" t="s">
        <v>24</v>
      </c>
      <c r="L17" s="20"/>
    </row>
    <row r="18" spans="1:13" ht="15.75" customHeight="1">
      <c r="D18" s="18"/>
      <c r="E18" s="593" t="s">
        <v>99</v>
      </c>
      <c r="F18" s="594"/>
      <c r="G18" s="594"/>
      <c r="H18" s="594"/>
      <c r="I18" s="594"/>
      <c r="J18" s="594"/>
      <c r="K18" s="595"/>
      <c r="L18" s="20"/>
    </row>
    <row r="19" spans="1:13" ht="15.75" customHeight="1">
      <c r="A19" s="14" t="s">
        <v>2450</v>
      </c>
      <c r="D19" s="18">
        <v>1</v>
      </c>
      <c r="E19" s="355" t="str">
        <f t="shared" ref="E19:E38" si="0">VLOOKUP($A19,MATMO,2,FALSE)</f>
        <v>Vallado perimetral</v>
      </c>
      <c r="F19" s="356">
        <v>0.1</v>
      </c>
      <c r="G19" s="357" t="str">
        <f t="shared" ref="G19:G38" si="1">VLOOKUP($A19,MATMO,3,FALSE)</f>
        <v>ml</v>
      </c>
      <c r="H19" s="358">
        <f t="shared" ref="H19:H38" si="2">VLOOKUP($A19,MATMO,4,FALSE)*$Q$6</f>
        <v>25</v>
      </c>
      <c r="I19" s="359" t="str">
        <f t="shared" ref="I19:I38" si="3">+G19</f>
        <v>ml</v>
      </c>
      <c r="J19" s="361">
        <f>+H19*F19</f>
        <v>2.5</v>
      </c>
      <c r="K19" s="360" t="s">
        <v>2299</v>
      </c>
      <c r="L19" s="20"/>
      <c r="M19" s="14" t="s">
        <v>2005</v>
      </c>
    </row>
    <row r="20" spans="1:13" ht="15.75" customHeight="1">
      <c r="A20" s="14" t="s">
        <v>31</v>
      </c>
      <c r="D20" s="18">
        <v>2</v>
      </c>
      <c r="E20" s="533" t="str">
        <f t="shared" si="0"/>
        <v>-</v>
      </c>
      <c r="F20" s="534"/>
      <c r="G20" s="535" t="str">
        <f t="shared" si="1"/>
        <v>-</v>
      </c>
      <c r="H20" s="536">
        <f t="shared" si="2"/>
        <v>0</v>
      </c>
      <c r="I20" s="537" t="str">
        <f t="shared" si="3"/>
        <v>-</v>
      </c>
      <c r="J20" s="538">
        <f t="shared" ref="J20:J38" si="4">+H20*F20</f>
        <v>0</v>
      </c>
      <c r="K20" s="539" t="s">
        <v>2299</v>
      </c>
      <c r="L20" s="20"/>
    </row>
    <row r="21" spans="1:13" ht="15.75" customHeight="1">
      <c r="A21" s="14" t="s">
        <v>31</v>
      </c>
      <c r="D21" s="18">
        <v>3</v>
      </c>
      <c r="E21" s="533" t="str">
        <f t="shared" si="0"/>
        <v>-</v>
      </c>
      <c r="F21" s="534"/>
      <c r="G21" s="535" t="str">
        <f t="shared" si="1"/>
        <v>-</v>
      </c>
      <c r="H21" s="536">
        <f t="shared" si="2"/>
        <v>0</v>
      </c>
      <c r="I21" s="537" t="str">
        <f t="shared" si="3"/>
        <v>-</v>
      </c>
      <c r="J21" s="538">
        <f t="shared" si="4"/>
        <v>0</v>
      </c>
      <c r="K21" s="539" t="s">
        <v>2299</v>
      </c>
      <c r="L21" s="20"/>
    </row>
    <row r="22" spans="1:13" ht="15.75" customHeight="1">
      <c r="A22" s="14" t="s">
        <v>31</v>
      </c>
      <c r="D22" s="18">
        <v>4</v>
      </c>
      <c r="E22" s="533" t="str">
        <f t="shared" si="0"/>
        <v>-</v>
      </c>
      <c r="F22" s="534"/>
      <c r="G22" s="535" t="str">
        <f t="shared" si="1"/>
        <v>-</v>
      </c>
      <c r="H22" s="536">
        <f t="shared" si="2"/>
        <v>0</v>
      </c>
      <c r="I22" s="537" t="str">
        <f t="shared" si="3"/>
        <v>-</v>
      </c>
      <c r="J22" s="538">
        <f t="shared" si="4"/>
        <v>0</v>
      </c>
      <c r="K22" s="539" t="s">
        <v>2299</v>
      </c>
      <c r="L22" s="20"/>
    </row>
    <row r="23" spans="1:13" ht="15.75" customHeight="1">
      <c r="A23" s="14" t="s">
        <v>31</v>
      </c>
      <c r="D23" s="18">
        <v>5</v>
      </c>
      <c r="E23" s="533" t="str">
        <f t="shared" si="0"/>
        <v>-</v>
      </c>
      <c r="F23" s="534"/>
      <c r="G23" s="535" t="str">
        <f t="shared" si="1"/>
        <v>-</v>
      </c>
      <c r="H23" s="536">
        <f t="shared" si="2"/>
        <v>0</v>
      </c>
      <c r="I23" s="537" t="str">
        <f t="shared" si="3"/>
        <v>-</v>
      </c>
      <c r="J23" s="538">
        <f t="shared" si="4"/>
        <v>0</v>
      </c>
      <c r="K23" s="539" t="s">
        <v>2299</v>
      </c>
      <c r="L23" s="20"/>
    </row>
    <row r="24" spans="1:13" ht="15.75" customHeight="1">
      <c r="A24" s="14" t="s">
        <v>31</v>
      </c>
      <c r="D24" s="18">
        <v>6</v>
      </c>
      <c r="E24" s="533" t="str">
        <f t="shared" si="0"/>
        <v>-</v>
      </c>
      <c r="F24" s="534"/>
      <c r="G24" s="535" t="str">
        <f t="shared" si="1"/>
        <v>-</v>
      </c>
      <c r="H24" s="536">
        <f t="shared" si="2"/>
        <v>0</v>
      </c>
      <c r="I24" s="537" t="str">
        <f t="shared" si="3"/>
        <v>-</v>
      </c>
      <c r="J24" s="538">
        <f t="shared" si="4"/>
        <v>0</v>
      </c>
      <c r="K24" s="539" t="s">
        <v>2299</v>
      </c>
      <c r="L24" s="20"/>
    </row>
    <row r="25" spans="1:13" ht="15.75" customHeight="1">
      <c r="A25" s="14" t="s">
        <v>31</v>
      </c>
      <c r="D25" s="18">
        <v>7</v>
      </c>
      <c r="E25" s="533" t="str">
        <f t="shared" si="0"/>
        <v>-</v>
      </c>
      <c r="F25" s="534"/>
      <c r="G25" s="535" t="str">
        <f t="shared" si="1"/>
        <v>-</v>
      </c>
      <c r="H25" s="536">
        <f t="shared" si="2"/>
        <v>0</v>
      </c>
      <c r="I25" s="537" t="str">
        <f t="shared" si="3"/>
        <v>-</v>
      </c>
      <c r="J25" s="538">
        <f t="shared" si="4"/>
        <v>0</v>
      </c>
      <c r="K25" s="539" t="s">
        <v>2299</v>
      </c>
      <c r="L25" s="20"/>
    </row>
    <row r="26" spans="1:13" ht="15.75" customHeight="1">
      <c r="A26" s="14" t="s">
        <v>31</v>
      </c>
      <c r="D26" s="18">
        <v>8</v>
      </c>
      <c r="E26" s="533" t="str">
        <f t="shared" si="0"/>
        <v>-</v>
      </c>
      <c r="F26" s="534"/>
      <c r="G26" s="535" t="str">
        <f t="shared" si="1"/>
        <v>-</v>
      </c>
      <c r="H26" s="536">
        <f t="shared" si="2"/>
        <v>0</v>
      </c>
      <c r="I26" s="537" t="str">
        <f t="shared" si="3"/>
        <v>-</v>
      </c>
      <c r="J26" s="538">
        <f t="shared" si="4"/>
        <v>0</v>
      </c>
      <c r="K26" s="539" t="s">
        <v>2299</v>
      </c>
      <c r="L26" s="20"/>
    </row>
    <row r="27" spans="1:13" ht="15.75" customHeight="1">
      <c r="A27" s="14" t="s">
        <v>31</v>
      </c>
      <c r="D27" s="18">
        <v>9</v>
      </c>
      <c r="E27" s="533" t="str">
        <f t="shared" si="0"/>
        <v>-</v>
      </c>
      <c r="F27" s="534"/>
      <c r="G27" s="535" t="str">
        <f t="shared" si="1"/>
        <v>-</v>
      </c>
      <c r="H27" s="536">
        <f t="shared" si="2"/>
        <v>0</v>
      </c>
      <c r="I27" s="537" t="str">
        <f t="shared" si="3"/>
        <v>-</v>
      </c>
      <c r="J27" s="538">
        <f t="shared" si="4"/>
        <v>0</v>
      </c>
      <c r="K27" s="539" t="s">
        <v>2299</v>
      </c>
      <c r="L27" s="20"/>
    </row>
    <row r="28" spans="1:13" ht="15.75" customHeight="1">
      <c r="A28" s="14" t="s">
        <v>31</v>
      </c>
      <c r="D28" s="18">
        <v>10</v>
      </c>
      <c r="E28" s="533" t="str">
        <f t="shared" si="0"/>
        <v>-</v>
      </c>
      <c r="F28" s="534"/>
      <c r="G28" s="535" t="str">
        <f t="shared" si="1"/>
        <v>-</v>
      </c>
      <c r="H28" s="536">
        <f t="shared" si="2"/>
        <v>0</v>
      </c>
      <c r="I28" s="537" t="str">
        <f t="shared" si="3"/>
        <v>-</v>
      </c>
      <c r="J28" s="538">
        <f t="shared" si="4"/>
        <v>0</v>
      </c>
      <c r="K28" s="539" t="s">
        <v>2299</v>
      </c>
      <c r="L28" s="20"/>
    </row>
    <row r="29" spans="1:13" ht="15.75" customHeight="1">
      <c r="A29" s="14" t="s">
        <v>31</v>
      </c>
      <c r="D29" s="18">
        <v>11</v>
      </c>
      <c r="E29" s="533" t="str">
        <f t="shared" si="0"/>
        <v>-</v>
      </c>
      <c r="F29" s="534"/>
      <c r="G29" s="535" t="str">
        <f t="shared" si="1"/>
        <v>-</v>
      </c>
      <c r="H29" s="536">
        <f t="shared" si="2"/>
        <v>0</v>
      </c>
      <c r="I29" s="537" t="str">
        <f t="shared" si="3"/>
        <v>-</v>
      </c>
      <c r="J29" s="538">
        <f t="shared" si="4"/>
        <v>0</v>
      </c>
      <c r="K29" s="539" t="s">
        <v>2299</v>
      </c>
      <c r="L29" s="20"/>
    </row>
    <row r="30" spans="1:13" ht="15.75" customHeight="1">
      <c r="A30" s="14" t="s">
        <v>31</v>
      </c>
      <c r="D30" s="18">
        <v>12</v>
      </c>
      <c r="E30" s="533" t="str">
        <f t="shared" si="0"/>
        <v>-</v>
      </c>
      <c r="F30" s="534"/>
      <c r="G30" s="535" t="str">
        <f t="shared" si="1"/>
        <v>-</v>
      </c>
      <c r="H30" s="540">
        <f t="shared" si="2"/>
        <v>0</v>
      </c>
      <c r="I30" s="537" t="str">
        <f t="shared" si="3"/>
        <v>-</v>
      </c>
      <c r="J30" s="538">
        <f t="shared" si="4"/>
        <v>0</v>
      </c>
      <c r="K30" s="539" t="s">
        <v>2299</v>
      </c>
      <c r="L30" s="20"/>
    </row>
    <row r="31" spans="1:13" ht="15.75" customHeight="1">
      <c r="A31" s="14" t="s">
        <v>31</v>
      </c>
      <c r="D31" s="18">
        <v>13</v>
      </c>
      <c r="E31" s="533" t="str">
        <f t="shared" si="0"/>
        <v>-</v>
      </c>
      <c r="F31" s="534"/>
      <c r="G31" s="535" t="str">
        <f t="shared" si="1"/>
        <v>-</v>
      </c>
      <c r="H31" s="540">
        <f t="shared" si="2"/>
        <v>0</v>
      </c>
      <c r="I31" s="537" t="str">
        <f t="shared" si="3"/>
        <v>-</v>
      </c>
      <c r="J31" s="538">
        <f t="shared" si="4"/>
        <v>0</v>
      </c>
      <c r="K31" s="539" t="s">
        <v>2299</v>
      </c>
      <c r="L31" s="20"/>
    </row>
    <row r="32" spans="1:13" ht="15.75" customHeight="1">
      <c r="A32" s="14" t="s">
        <v>31</v>
      </c>
      <c r="D32" s="18">
        <v>14</v>
      </c>
      <c r="E32" s="533" t="str">
        <f t="shared" si="0"/>
        <v>-</v>
      </c>
      <c r="F32" s="534"/>
      <c r="G32" s="535" t="str">
        <f t="shared" si="1"/>
        <v>-</v>
      </c>
      <c r="H32" s="540">
        <f t="shared" si="2"/>
        <v>0</v>
      </c>
      <c r="I32" s="537" t="str">
        <f t="shared" si="3"/>
        <v>-</v>
      </c>
      <c r="J32" s="538">
        <f t="shared" si="4"/>
        <v>0</v>
      </c>
      <c r="K32" s="539" t="s">
        <v>2299</v>
      </c>
      <c r="L32" s="20"/>
    </row>
    <row r="33" spans="1:19" ht="15.75" customHeight="1">
      <c r="A33" s="14" t="s">
        <v>31</v>
      </c>
      <c r="D33" s="18">
        <v>15</v>
      </c>
      <c r="E33" s="533" t="str">
        <f t="shared" si="0"/>
        <v>-</v>
      </c>
      <c r="F33" s="534"/>
      <c r="G33" s="535" t="str">
        <f t="shared" si="1"/>
        <v>-</v>
      </c>
      <c r="H33" s="540">
        <f t="shared" si="2"/>
        <v>0</v>
      </c>
      <c r="I33" s="537" t="str">
        <f t="shared" si="3"/>
        <v>-</v>
      </c>
      <c r="J33" s="538">
        <f t="shared" si="4"/>
        <v>0</v>
      </c>
      <c r="K33" s="539" t="s">
        <v>2299</v>
      </c>
      <c r="L33" s="20"/>
    </row>
    <row r="34" spans="1:19" ht="15.75" customHeight="1">
      <c r="A34" s="14" t="s">
        <v>31</v>
      </c>
      <c r="D34" s="18">
        <v>16</v>
      </c>
      <c r="E34" s="533" t="str">
        <f t="shared" si="0"/>
        <v>-</v>
      </c>
      <c r="F34" s="534"/>
      <c r="G34" s="535" t="str">
        <f t="shared" si="1"/>
        <v>-</v>
      </c>
      <c r="H34" s="540">
        <f t="shared" si="2"/>
        <v>0</v>
      </c>
      <c r="I34" s="537" t="str">
        <f t="shared" si="3"/>
        <v>-</v>
      </c>
      <c r="J34" s="538">
        <f t="shared" si="4"/>
        <v>0</v>
      </c>
      <c r="K34" s="539" t="s">
        <v>2299</v>
      </c>
      <c r="L34" s="20"/>
    </row>
    <row r="35" spans="1:19" ht="15.75" customHeight="1">
      <c r="A35" s="14" t="s">
        <v>31</v>
      </c>
      <c r="D35" s="18">
        <v>17</v>
      </c>
      <c r="E35" s="533" t="str">
        <f t="shared" si="0"/>
        <v>-</v>
      </c>
      <c r="F35" s="534"/>
      <c r="G35" s="535" t="str">
        <f t="shared" si="1"/>
        <v>-</v>
      </c>
      <c r="H35" s="540">
        <f t="shared" si="2"/>
        <v>0</v>
      </c>
      <c r="I35" s="537" t="str">
        <f t="shared" si="3"/>
        <v>-</v>
      </c>
      <c r="J35" s="538">
        <f t="shared" si="4"/>
        <v>0</v>
      </c>
      <c r="K35" s="539" t="s">
        <v>2299</v>
      </c>
      <c r="L35" s="20"/>
    </row>
    <row r="36" spans="1:19" ht="15.75" customHeight="1">
      <c r="A36" s="14" t="s">
        <v>31</v>
      </c>
      <c r="D36" s="18">
        <v>18</v>
      </c>
      <c r="E36" s="533" t="str">
        <f t="shared" si="0"/>
        <v>-</v>
      </c>
      <c r="F36" s="534"/>
      <c r="G36" s="535" t="str">
        <f t="shared" si="1"/>
        <v>-</v>
      </c>
      <c r="H36" s="540">
        <f t="shared" si="2"/>
        <v>0</v>
      </c>
      <c r="I36" s="537" t="str">
        <f t="shared" si="3"/>
        <v>-</v>
      </c>
      <c r="J36" s="538">
        <f t="shared" si="4"/>
        <v>0</v>
      </c>
      <c r="K36" s="539" t="s">
        <v>2299</v>
      </c>
      <c r="L36" s="20"/>
    </row>
    <row r="37" spans="1:19" ht="15.75" customHeight="1">
      <c r="A37" s="14" t="s">
        <v>31</v>
      </c>
      <c r="D37" s="18">
        <v>19</v>
      </c>
      <c r="E37" s="533" t="str">
        <f t="shared" si="0"/>
        <v>-</v>
      </c>
      <c r="F37" s="534"/>
      <c r="G37" s="535" t="str">
        <f t="shared" si="1"/>
        <v>-</v>
      </c>
      <c r="H37" s="540">
        <f t="shared" si="2"/>
        <v>0</v>
      </c>
      <c r="I37" s="537" t="str">
        <f t="shared" si="3"/>
        <v>-</v>
      </c>
      <c r="J37" s="538">
        <f t="shared" si="4"/>
        <v>0</v>
      </c>
      <c r="K37" s="539" t="s">
        <v>2299</v>
      </c>
      <c r="L37" s="20"/>
    </row>
    <row r="38" spans="1:19" ht="15.75" customHeight="1">
      <c r="A38" s="14" t="s">
        <v>31</v>
      </c>
      <c r="D38" s="18">
        <v>20</v>
      </c>
      <c r="E38" s="533" t="str">
        <f t="shared" si="0"/>
        <v>-</v>
      </c>
      <c r="F38" s="534"/>
      <c r="G38" s="535" t="str">
        <f t="shared" si="1"/>
        <v>-</v>
      </c>
      <c r="H38" s="540">
        <f t="shared" si="2"/>
        <v>0</v>
      </c>
      <c r="I38" s="537" t="str">
        <f t="shared" si="3"/>
        <v>-</v>
      </c>
      <c r="J38" s="541">
        <f t="shared" si="4"/>
        <v>0</v>
      </c>
      <c r="K38" s="539" t="s">
        <v>2299</v>
      </c>
      <c r="L38" s="20"/>
    </row>
    <row r="39" spans="1:19" ht="15.75" customHeight="1">
      <c r="A39" s="14">
        <v>1</v>
      </c>
      <c r="B39" s="14" t="str">
        <f>"MA" &amp; TEXT(A39,"##000")</f>
        <v>MA001</v>
      </c>
      <c r="D39" s="18"/>
      <c r="E39" s="591" t="s">
        <v>2302</v>
      </c>
      <c r="F39" s="592"/>
      <c r="G39" s="592"/>
      <c r="H39" s="592"/>
      <c r="I39" s="327"/>
      <c r="J39" s="353">
        <f>SUM(J19:J38)</f>
        <v>2.5</v>
      </c>
      <c r="K39" s="365" t="str">
        <f>+F16</f>
        <v>m2</v>
      </c>
      <c r="L39" s="20"/>
      <c r="O39" s="27" t="s">
        <v>1525</v>
      </c>
      <c r="P39" s="110">
        <v>10</v>
      </c>
    </row>
    <row r="40" spans="1:19" ht="15.75" customHeight="1">
      <c r="D40" s="18"/>
      <c r="E40" s="593" t="s">
        <v>100</v>
      </c>
      <c r="F40" s="594"/>
      <c r="G40" s="594"/>
      <c r="H40" s="594"/>
      <c r="I40" s="594"/>
      <c r="J40" s="595"/>
      <c r="K40" s="347"/>
      <c r="L40" s="20"/>
      <c r="O40" s="27" t="s">
        <v>1524</v>
      </c>
      <c r="P40" s="110">
        <v>0</v>
      </c>
    </row>
    <row r="41" spans="1:19" ht="15.75" customHeight="1">
      <c r="A41" s="14" t="s">
        <v>84</v>
      </c>
      <c r="D41" s="18">
        <v>1</v>
      </c>
      <c r="E41" s="26" t="str">
        <f>VLOOKUP($A41,MATMO,2,FALSE)</f>
        <v>Oficial</v>
      </c>
      <c r="F41" s="311">
        <v>0.12</v>
      </c>
      <c r="G41" s="307" t="str">
        <f>VLOOKUP($A41,MATMO,3,FALSE)</f>
        <v>hs</v>
      </c>
      <c r="H41" s="110">
        <f>VLOOKUP($A41,MATMO,4,FALSE)*$Q$7</f>
        <v>55.38</v>
      </c>
      <c r="I41" s="354" t="str">
        <f t="shared" ref="I41:I45" si="5">+G41</f>
        <v>hs</v>
      </c>
      <c r="J41" s="350">
        <f t="shared" ref="J41:J45" si="6">+H41*F41</f>
        <v>6.6456</v>
      </c>
      <c r="K41" s="360" t="s">
        <v>2299</v>
      </c>
      <c r="L41" s="20"/>
      <c r="M41" s="14" t="s">
        <v>2006</v>
      </c>
      <c r="O41" s="27" t="s">
        <v>1526</v>
      </c>
      <c r="P41" s="110">
        <v>0</v>
      </c>
    </row>
    <row r="42" spans="1:19" ht="15.75" customHeight="1">
      <c r="A42" s="14" t="s">
        <v>85</v>
      </c>
      <c r="D42" s="18">
        <v>2</v>
      </c>
      <c r="E42" s="26" t="str">
        <f>VLOOKUP($A42,MATMO,2,FALSE)</f>
        <v>Ayudante</v>
      </c>
      <c r="F42" s="311">
        <v>0.05</v>
      </c>
      <c r="G42" s="307" t="str">
        <f>VLOOKUP($A42,MATMO,3,FALSE)</f>
        <v>hs</v>
      </c>
      <c r="H42" s="110">
        <f>VLOOKUP($A42,MATMO,4,FALSE)*$Q$7</f>
        <v>46.87</v>
      </c>
      <c r="I42" s="354" t="str">
        <f t="shared" si="5"/>
        <v>hs</v>
      </c>
      <c r="J42" s="350">
        <f t="shared" si="6"/>
        <v>2.3435000000000001</v>
      </c>
      <c r="K42" s="360" t="s">
        <v>2299</v>
      </c>
      <c r="L42" s="20"/>
      <c r="O42" s="27" t="s">
        <v>1527</v>
      </c>
      <c r="P42" s="110">
        <v>0</v>
      </c>
    </row>
    <row r="43" spans="1:19" ht="15.75" customHeight="1">
      <c r="A43" s="14" t="s">
        <v>2311</v>
      </c>
      <c r="D43" s="18">
        <v>3</v>
      </c>
      <c r="E43" s="26" t="str">
        <f>VLOOKUP($A43,MATMO,2,FALSE)</f>
        <v>Cargas Sociales Oficial</v>
      </c>
      <c r="F43" s="311">
        <f>+F41</f>
        <v>0.12</v>
      </c>
      <c r="G43" s="307" t="str">
        <f>VLOOKUP($A43,MATMO,3,FALSE)</f>
        <v>hs</v>
      </c>
      <c r="H43" s="110">
        <f>VLOOKUP($A43,MATMO,4,FALSE)*$Q$7</f>
        <v>52.742782499999997</v>
      </c>
      <c r="I43" s="354" t="str">
        <f t="shared" si="5"/>
        <v>hs</v>
      </c>
      <c r="J43" s="350">
        <f t="shared" si="6"/>
        <v>6.3291338999999995</v>
      </c>
      <c r="K43" s="360" t="s">
        <v>2299</v>
      </c>
      <c r="L43" s="20"/>
      <c r="O43" s="27"/>
      <c r="P43" s="110">
        <v>0</v>
      </c>
    </row>
    <row r="44" spans="1:19" ht="15.75" customHeight="1">
      <c r="A44" s="14" t="s">
        <v>2312</v>
      </c>
      <c r="D44" s="18">
        <v>4</v>
      </c>
      <c r="E44" s="26" t="str">
        <f>VLOOKUP($A44,MATMO,2,FALSE)</f>
        <v>Cargas Sociales Ayudante</v>
      </c>
      <c r="F44" s="311">
        <f>+F42</f>
        <v>0.05</v>
      </c>
      <c r="G44" s="307" t="str">
        <f>VLOOKUP($A44,MATMO,3,FALSE)</f>
        <v>hs</v>
      </c>
      <c r="H44" s="110">
        <f>VLOOKUP($A44,MATMO,4,FALSE)*$Q$7</f>
        <v>45.108248750000001</v>
      </c>
      <c r="I44" s="354" t="str">
        <f t="shared" si="5"/>
        <v>hs</v>
      </c>
      <c r="J44" s="350">
        <f t="shared" si="6"/>
        <v>2.2554124375</v>
      </c>
      <c r="K44" s="360" t="s">
        <v>2299</v>
      </c>
      <c r="L44" s="20"/>
      <c r="O44" s="27"/>
      <c r="P44" s="110">
        <v>0</v>
      </c>
    </row>
    <row r="45" spans="1:19" ht="15.75" customHeight="1" thickBot="1">
      <c r="A45" s="14" t="s">
        <v>83</v>
      </c>
      <c r="D45" s="18">
        <v>5</v>
      </c>
      <c r="E45" s="533" t="str">
        <f>VLOOKUP($A45,MATMO,2,FALSE)</f>
        <v>-</v>
      </c>
      <c r="F45" s="534"/>
      <c r="G45" s="535" t="str">
        <f>VLOOKUP($A45,MATMO,3,FALSE)</f>
        <v>-</v>
      </c>
      <c r="H45" s="542">
        <f>VLOOKUP($A45,MATMO,4,FALSE)*$Q$7</f>
        <v>0</v>
      </c>
      <c r="I45" s="537" t="str">
        <f t="shared" si="5"/>
        <v>-</v>
      </c>
      <c r="J45" s="538">
        <f t="shared" si="6"/>
        <v>0</v>
      </c>
      <c r="K45" s="539" t="s">
        <v>2299</v>
      </c>
      <c r="L45" s="20"/>
      <c r="O45" s="27"/>
      <c r="P45" s="110">
        <v>0</v>
      </c>
      <c r="R45" s="29" t="s">
        <v>2307</v>
      </c>
    </row>
    <row r="46" spans="1:19" ht="15.75" customHeight="1" thickBot="1">
      <c r="A46" s="14">
        <v>1</v>
      </c>
      <c r="B46" s="14" t="str">
        <f>"MO" &amp; TEXT(A46,"##000")</f>
        <v>MO001</v>
      </c>
      <c r="D46" s="18"/>
      <c r="E46" s="591" t="s">
        <v>2301</v>
      </c>
      <c r="F46" s="592"/>
      <c r="G46" s="592"/>
      <c r="H46" s="592"/>
      <c r="I46" s="327"/>
      <c r="J46" s="362">
        <f>SUM(J41:J45)</f>
        <v>17.573646337499998</v>
      </c>
      <c r="K46" s="365" t="str">
        <f>+G41</f>
        <v>hs</v>
      </c>
      <c r="L46" s="20"/>
      <c r="N46" s="111">
        <f>+P46+R46</f>
        <v>19</v>
      </c>
      <c r="O46" s="27"/>
      <c r="P46" s="27">
        <f>SUM(P39:P45)</f>
        <v>10</v>
      </c>
      <c r="Q46" s="26">
        <v>0.9</v>
      </c>
      <c r="R46" s="287">
        <f>+Q46*P46</f>
        <v>9</v>
      </c>
      <c r="S46" s="288"/>
    </row>
    <row r="47" spans="1:19" ht="15.75" customHeight="1">
      <c r="D47" s="18"/>
      <c r="E47" s="593" t="s">
        <v>101</v>
      </c>
      <c r="F47" s="594"/>
      <c r="G47" s="594"/>
      <c r="H47" s="594"/>
      <c r="I47" s="594"/>
      <c r="J47" s="595"/>
      <c r="K47" s="347"/>
      <c r="L47" s="20"/>
      <c r="P47" s="14" t="s">
        <v>2308</v>
      </c>
    </row>
    <row r="48" spans="1:19" ht="15.75" customHeight="1">
      <c r="A48" s="14" t="s">
        <v>119</v>
      </c>
      <c r="D48" s="18">
        <v>1</v>
      </c>
      <c r="E48" s="26" t="str">
        <f>VLOOKUP($A48,MATMO,2,FALSE)</f>
        <v>Herramientas de Mano</v>
      </c>
      <c r="F48" s="311">
        <v>1</v>
      </c>
      <c r="G48" s="307" t="str">
        <f>VLOOKUP($A48,MATMO,3,FALSE)</f>
        <v>gl</v>
      </c>
      <c r="H48" s="110">
        <f>+(J39+J46)*$Q$5</f>
        <v>0.80294585349999992</v>
      </c>
      <c r="I48" s="345" t="str">
        <f>+G48</f>
        <v>gl</v>
      </c>
      <c r="J48" s="350">
        <f t="shared" ref="J48:J52" si="7">+H48*F48</f>
        <v>0.80294585349999992</v>
      </c>
      <c r="K48" s="360" t="s">
        <v>2299</v>
      </c>
      <c r="L48" s="20"/>
      <c r="M48" s="14" t="s">
        <v>2004</v>
      </c>
    </row>
    <row r="49" spans="1:16" ht="15.75" customHeight="1">
      <c r="A49" s="14" t="s">
        <v>2310</v>
      </c>
      <c r="D49" s="18">
        <v>2</v>
      </c>
      <c r="E49" s="26" t="str">
        <f>VLOOKUP($A49,MATMO,2,FALSE)</f>
        <v>-</v>
      </c>
      <c r="F49" s="311"/>
      <c r="G49" s="307" t="str">
        <f>VLOOKUP($A49,MATMO,3,FALSE)</f>
        <v>-</v>
      </c>
      <c r="H49" s="110">
        <f>VLOOKUP($A49,MATMO,4,FALSE)*$Q$6</f>
        <v>0</v>
      </c>
      <c r="I49" s="543" t="str">
        <f t="shared" ref="I49:I52" si="8">+G49</f>
        <v>-</v>
      </c>
      <c r="J49" s="538">
        <f t="shared" si="7"/>
        <v>0</v>
      </c>
      <c r="K49" s="539" t="s">
        <v>2299</v>
      </c>
      <c r="L49" s="20"/>
    </row>
    <row r="50" spans="1:16" ht="15.75" customHeight="1">
      <c r="A50" s="14" t="s">
        <v>2310</v>
      </c>
      <c r="D50" s="18">
        <v>3</v>
      </c>
      <c r="E50" s="26" t="str">
        <f>VLOOKUP($A50,MATMO,2,FALSE)</f>
        <v>-</v>
      </c>
      <c r="F50" s="311"/>
      <c r="G50" s="307" t="str">
        <f>VLOOKUP($A50,MATMO,3,FALSE)</f>
        <v>-</v>
      </c>
      <c r="H50" s="110">
        <f>VLOOKUP($A50,MATMO,4,FALSE)*$Q$6</f>
        <v>0</v>
      </c>
      <c r="I50" s="543" t="str">
        <f t="shared" si="8"/>
        <v>-</v>
      </c>
      <c r="J50" s="538">
        <f t="shared" si="7"/>
        <v>0</v>
      </c>
      <c r="K50" s="539" t="s">
        <v>2299</v>
      </c>
      <c r="L50" s="20"/>
      <c r="P50" s="28"/>
    </row>
    <row r="51" spans="1:16" ht="15.75" customHeight="1">
      <c r="A51" s="14" t="s">
        <v>118</v>
      </c>
      <c r="D51" s="18">
        <v>4</v>
      </c>
      <c r="E51" s="26" t="str">
        <f>VLOOKUP($A51,MATMO,2,FALSE)</f>
        <v>-</v>
      </c>
      <c r="F51" s="311"/>
      <c r="G51" s="307" t="str">
        <f>VLOOKUP($A51,MATMO,3,FALSE)</f>
        <v>-</v>
      </c>
      <c r="H51" s="110">
        <f>VLOOKUP($A51,MATMO,4,FALSE)*$Q$6</f>
        <v>0</v>
      </c>
      <c r="I51" s="543" t="str">
        <f t="shared" si="8"/>
        <v>-</v>
      </c>
      <c r="J51" s="538">
        <f t="shared" si="7"/>
        <v>0</v>
      </c>
      <c r="K51" s="539" t="s">
        <v>2299</v>
      </c>
      <c r="L51" s="20"/>
    </row>
    <row r="52" spans="1:16" ht="15.75" customHeight="1">
      <c r="A52" s="14" t="s">
        <v>118</v>
      </c>
      <c r="D52" s="18">
        <v>5</v>
      </c>
      <c r="E52" s="26" t="str">
        <f>VLOOKUP($A52,MATMO,2,FALSE)</f>
        <v>-</v>
      </c>
      <c r="F52" s="311"/>
      <c r="G52" s="307" t="str">
        <f>VLOOKUP($A52,MATMO,3,FALSE)</f>
        <v>-</v>
      </c>
      <c r="H52" s="110">
        <f>VLOOKUP($A52,MATMO,4,FALSE)*$Q$6</f>
        <v>0</v>
      </c>
      <c r="I52" s="543" t="str">
        <f t="shared" si="8"/>
        <v>-</v>
      </c>
      <c r="J52" s="538">
        <f t="shared" si="7"/>
        <v>0</v>
      </c>
      <c r="K52" s="539" t="s">
        <v>2299</v>
      </c>
      <c r="L52" s="20"/>
    </row>
    <row r="53" spans="1:16" ht="15.75" customHeight="1">
      <c r="A53" s="14">
        <v>1</v>
      </c>
      <c r="B53" s="14" t="str">
        <f>"E" &amp; TEXT(A53,"##000")</f>
        <v>E001</v>
      </c>
      <c r="D53" s="18"/>
      <c r="E53" s="591" t="s">
        <v>2300</v>
      </c>
      <c r="F53" s="592"/>
      <c r="G53" s="592"/>
      <c r="H53" s="592"/>
      <c r="I53" s="327"/>
      <c r="J53" s="362">
        <f>SUM(J48:J52)</f>
        <v>0.80294585349999992</v>
      </c>
      <c r="K53" s="365" t="s">
        <v>116</v>
      </c>
      <c r="L53" s="20"/>
    </row>
    <row r="54" spans="1:16" ht="15.75" customHeight="1">
      <c r="D54" s="18"/>
      <c r="E54" s="596"/>
      <c r="F54" s="597"/>
      <c r="G54" s="597"/>
      <c r="H54" s="597"/>
      <c r="I54" s="597"/>
      <c r="J54" s="598"/>
      <c r="K54" s="348"/>
      <c r="L54" s="20"/>
    </row>
    <row r="55" spans="1:16" ht="15.75" customHeight="1">
      <c r="D55" s="18"/>
      <c r="E55" s="591" t="s">
        <v>2306</v>
      </c>
      <c r="F55" s="592"/>
      <c r="G55" s="592"/>
      <c r="H55" s="592"/>
      <c r="I55" s="327"/>
      <c r="J55" s="308">
        <f>+J53+J46+J39</f>
        <v>20.876592190999997</v>
      </c>
      <c r="K55" s="365" t="str">
        <f>+F16</f>
        <v>m2</v>
      </c>
      <c r="L55" s="20"/>
      <c r="N55" s="28"/>
    </row>
    <row r="56" spans="1:16" ht="15.75" customHeight="1">
      <c r="D56" s="18"/>
      <c r="E56" s="591" t="s">
        <v>2305</v>
      </c>
      <c r="F56" s="592"/>
      <c r="G56" s="592"/>
      <c r="H56" s="592"/>
      <c r="I56" s="406">
        <f>+$Q$9</f>
        <v>1.6902999999999999</v>
      </c>
      <c r="J56" s="308">
        <f>+$Q$9*J55</f>
        <v>35.287703780447295</v>
      </c>
      <c r="K56" s="365" t="str">
        <f>+F16</f>
        <v>m2</v>
      </c>
      <c r="L56" s="20"/>
      <c r="M56" s="14" t="s">
        <v>2303</v>
      </c>
      <c r="N56" s="28"/>
    </row>
    <row r="57" spans="1:16" ht="15.75" customHeight="1">
      <c r="A57" s="14">
        <v>1</v>
      </c>
      <c r="B57" s="14" t="str">
        <f>"TR" &amp; TEXT(A57,"##000")</f>
        <v>TR001</v>
      </c>
      <c r="C57" s="14">
        <v>1</v>
      </c>
      <c r="D57" s="18"/>
      <c r="E57" s="591" t="s">
        <v>2304</v>
      </c>
      <c r="F57" s="592"/>
      <c r="G57" s="592"/>
      <c r="H57" s="592"/>
      <c r="I57" s="327"/>
      <c r="J57" s="308">
        <f>+J56</f>
        <v>35.287703780447295</v>
      </c>
      <c r="K57" s="365" t="str">
        <f>+F16</f>
        <v>m2</v>
      </c>
      <c r="L57" s="20"/>
      <c r="N57" s="28"/>
    </row>
    <row r="58" spans="1:16" ht="15.75" customHeight="1" thickBot="1">
      <c r="D58" s="21"/>
      <c r="E58" s="30"/>
      <c r="F58" s="30"/>
      <c r="G58" s="30"/>
      <c r="H58" s="30"/>
      <c r="I58" s="30"/>
      <c r="J58" s="30"/>
      <c r="K58" s="349"/>
      <c r="L58" s="22"/>
    </row>
    <row r="59" spans="1:16" ht="15.75" customHeight="1" thickTop="1">
      <c r="D59" s="15"/>
      <c r="E59" s="16"/>
      <c r="F59" s="16"/>
      <c r="G59" s="16"/>
      <c r="H59" s="16"/>
      <c r="I59" s="16"/>
      <c r="J59" s="16"/>
      <c r="K59" s="16"/>
      <c r="L59" s="17"/>
    </row>
    <row r="60" spans="1:16" ht="15.75" customHeight="1">
      <c r="A60" s="14" t="s">
        <v>1814</v>
      </c>
      <c r="D60" s="18"/>
      <c r="E60" s="23" t="s">
        <v>95</v>
      </c>
      <c r="F60" s="24" t="str">
        <f>VLOOKUP($A60,DATRUB,3,FALSE)</f>
        <v>RUBRO I:</v>
      </c>
      <c r="G60" s="599" t="str">
        <f>VLOOKUP($A60,DATRUB,4,FALSE)</f>
        <v>PRELIMINARES</v>
      </c>
      <c r="H60" s="599"/>
      <c r="I60" s="599"/>
      <c r="J60" s="599"/>
      <c r="K60" s="599"/>
      <c r="L60" s="20"/>
    </row>
    <row r="61" spans="1:16" ht="35.1" customHeight="1">
      <c r="A61" s="14" t="s">
        <v>1816</v>
      </c>
      <c r="D61" s="18"/>
      <c r="E61" s="23" t="s">
        <v>96</v>
      </c>
      <c r="F61" s="399">
        <f>VLOOKUP($A61,DATRUB,3,FALSE)</f>
        <v>1.2</v>
      </c>
      <c r="G61" s="599" t="str">
        <f>VLOOKUP($A61,DATRUB,4,FALSE)</f>
        <v>Obrador y Depósito</v>
      </c>
      <c r="H61" s="599"/>
      <c r="I61" s="599"/>
      <c r="J61" s="599"/>
      <c r="K61" s="599"/>
      <c r="L61" s="20"/>
    </row>
    <row r="62" spans="1:16" ht="35.1" customHeight="1">
      <c r="A62" s="14" t="s">
        <v>1816</v>
      </c>
      <c r="D62" s="18"/>
      <c r="E62" s="23" t="s">
        <v>97</v>
      </c>
      <c r="F62" s="399">
        <f>VLOOKUP($A62,DATRUB,3,FALSE)</f>
        <v>1.2</v>
      </c>
      <c r="G62" s="599" t="str">
        <f>VLOOKUP($A62,DATRUB,4,FALSE)</f>
        <v>Obrador y Depósito</v>
      </c>
      <c r="H62" s="599"/>
      <c r="I62" s="599"/>
      <c r="J62" s="599"/>
      <c r="K62" s="599"/>
      <c r="L62" s="20"/>
    </row>
    <row r="63" spans="1:16" ht="15.75" customHeight="1">
      <c r="D63" s="18"/>
      <c r="E63" s="23" t="s">
        <v>98</v>
      </c>
      <c r="F63" s="24" t="str">
        <f>VLOOKUP($A62,DATRUB,5,FALSE)</f>
        <v>gl</v>
      </c>
      <c r="G63" s="600"/>
      <c r="H63" s="600"/>
      <c r="I63" s="600"/>
      <c r="J63" s="600"/>
      <c r="K63" s="600"/>
      <c r="L63" s="20"/>
    </row>
    <row r="64" spans="1:16" ht="15.75" customHeight="1">
      <c r="D64" s="18"/>
      <c r="E64" s="24" t="s">
        <v>1158</v>
      </c>
      <c r="F64" s="25" t="s">
        <v>1250</v>
      </c>
      <c r="G64" s="24" t="s">
        <v>24</v>
      </c>
      <c r="H64" s="24" t="s">
        <v>25</v>
      </c>
      <c r="I64" s="24" t="s">
        <v>24</v>
      </c>
      <c r="J64" s="24" t="s">
        <v>2298</v>
      </c>
      <c r="K64" s="24" t="s">
        <v>24</v>
      </c>
      <c r="L64" s="20"/>
    </row>
    <row r="65" spans="1:13" ht="15.75" customHeight="1">
      <c r="D65" s="18"/>
      <c r="E65" s="593" t="s">
        <v>99</v>
      </c>
      <c r="F65" s="594"/>
      <c r="G65" s="594"/>
      <c r="H65" s="594"/>
      <c r="I65" s="594"/>
      <c r="J65" s="594"/>
      <c r="K65" s="595"/>
      <c r="L65" s="20"/>
    </row>
    <row r="66" spans="1:13" ht="15.75" customHeight="1">
      <c r="A66" s="14" t="s">
        <v>2449</v>
      </c>
      <c r="D66" s="18">
        <v>1</v>
      </c>
      <c r="E66" s="355" t="str">
        <f t="shared" ref="E66:E85" si="9">VLOOKUP($A66,MATMO,2,FALSE)</f>
        <v>Obrador</v>
      </c>
      <c r="F66" s="356">
        <v>1</v>
      </c>
      <c r="G66" s="357" t="str">
        <f t="shared" ref="G66:G85" si="10">VLOOKUP($A66,MATMO,3,FALSE)</f>
        <v>un</v>
      </c>
      <c r="H66" s="358">
        <f t="shared" ref="H66:H85" si="11">VLOOKUP($A66,MATMO,4,FALSE)*$Q$6</f>
        <v>10000</v>
      </c>
      <c r="I66" s="359" t="str">
        <f t="shared" ref="I66:I85" si="12">+G66</f>
        <v>un</v>
      </c>
      <c r="J66" s="361">
        <f>+H66*F66</f>
        <v>10000</v>
      </c>
      <c r="K66" s="360" t="s">
        <v>2299</v>
      </c>
      <c r="L66" s="20"/>
      <c r="M66" s="14" t="s">
        <v>2005</v>
      </c>
    </row>
    <row r="67" spans="1:13" ht="15.75" customHeight="1">
      <c r="A67" s="14" t="s">
        <v>2451</v>
      </c>
      <c r="D67" s="18">
        <v>2</v>
      </c>
      <c r="E67" s="26" t="str">
        <f t="shared" si="9"/>
        <v>Accesorios</v>
      </c>
      <c r="F67" s="311">
        <v>1</v>
      </c>
      <c r="G67" s="307" t="str">
        <f t="shared" si="10"/>
        <v>gl</v>
      </c>
      <c r="H67" s="351">
        <f t="shared" si="11"/>
        <v>500</v>
      </c>
      <c r="I67" s="354" t="str">
        <f t="shared" si="12"/>
        <v>gl</v>
      </c>
      <c r="J67" s="350">
        <f t="shared" ref="J67:J85" si="13">+H67*F67</f>
        <v>500</v>
      </c>
      <c r="K67" s="360" t="s">
        <v>2299</v>
      </c>
      <c r="L67" s="20"/>
    </row>
    <row r="68" spans="1:13" ht="15.75" customHeight="1">
      <c r="A68" s="14" t="s">
        <v>31</v>
      </c>
      <c r="D68" s="18">
        <v>3</v>
      </c>
      <c r="E68" s="533" t="str">
        <f t="shared" si="9"/>
        <v>-</v>
      </c>
      <c r="F68" s="534"/>
      <c r="G68" s="535" t="str">
        <f t="shared" si="10"/>
        <v>-</v>
      </c>
      <c r="H68" s="536">
        <f t="shared" si="11"/>
        <v>0</v>
      </c>
      <c r="I68" s="537" t="str">
        <f t="shared" si="12"/>
        <v>-</v>
      </c>
      <c r="J68" s="538">
        <f t="shared" si="13"/>
        <v>0</v>
      </c>
      <c r="K68" s="539" t="s">
        <v>2299</v>
      </c>
      <c r="L68" s="20"/>
    </row>
    <row r="69" spans="1:13" ht="15.75" customHeight="1">
      <c r="A69" s="14" t="s">
        <v>31</v>
      </c>
      <c r="D69" s="18">
        <v>4</v>
      </c>
      <c r="E69" s="533" t="str">
        <f t="shared" si="9"/>
        <v>-</v>
      </c>
      <c r="F69" s="534"/>
      <c r="G69" s="535" t="str">
        <f t="shared" si="10"/>
        <v>-</v>
      </c>
      <c r="H69" s="536">
        <f t="shared" si="11"/>
        <v>0</v>
      </c>
      <c r="I69" s="537" t="str">
        <f t="shared" si="12"/>
        <v>-</v>
      </c>
      <c r="J69" s="538">
        <f t="shared" si="13"/>
        <v>0</v>
      </c>
      <c r="K69" s="539" t="s">
        <v>2299</v>
      </c>
      <c r="L69" s="20"/>
    </row>
    <row r="70" spans="1:13" ht="15.75" customHeight="1">
      <c r="A70" s="14" t="s">
        <v>31</v>
      </c>
      <c r="D70" s="18">
        <v>5</v>
      </c>
      <c r="E70" s="533" t="str">
        <f t="shared" si="9"/>
        <v>-</v>
      </c>
      <c r="F70" s="534"/>
      <c r="G70" s="535" t="str">
        <f t="shared" si="10"/>
        <v>-</v>
      </c>
      <c r="H70" s="536">
        <f t="shared" si="11"/>
        <v>0</v>
      </c>
      <c r="I70" s="537" t="str">
        <f t="shared" si="12"/>
        <v>-</v>
      </c>
      <c r="J70" s="538">
        <f t="shared" si="13"/>
        <v>0</v>
      </c>
      <c r="K70" s="539" t="s">
        <v>2299</v>
      </c>
      <c r="L70" s="20"/>
    </row>
    <row r="71" spans="1:13" ht="15.75" customHeight="1">
      <c r="A71" s="14" t="s">
        <v>31</v>
      </c>
      <c r="D71" s="18">
        <v>6</v>
      </c>
      <c r="E71" s="533" t="str">
        <f t="shared" si="9"/>
        <v>-</v>
      </c>
      <c r="F71" s="534"/>
      <c r="G71" s="535" t="str">
        <f t="shared" si="10"/>
        <v>-</v>
      </c>
      <c r="H71" s="536">
        <f t="shared" si="11"/>
        <v>0</v>
      </c>
      <c r="I71" s="537" t="str">
        <f t="shared" si="12"/>
        <v>-</v>
      </c>
      <c r="J71" s="538">
        <f t="shared" si="13"/>
        <v>0</v>
      </c>
      <c r="K71" s="539" t="s">
        <v>2299</v>
      </c>
      <c r="L71" s="20"/>
    </row>
    <row r="72" spans="1:13" ht="15.75" customHeight="1">
      <c r="A72" s="14" t="s">
        <v>31</v>
      </c>
      <c r="D72" s="18">
        <v>7</v>
      </c>
      <c r="E72" s="533" t="str">
        <f t="shared" si="9"/>
        <v>-</v>
      </c>
      <c r="F72" s="534"/>
      <c r="G72" s="535" t="str">
        <f t="shared" si="10"/>
        <v>-</v>
      </c>
      <c r="H72" s="536">
        <f t="shared" si="11"/>
        <v>0</v>
      </c>
      <c r="I72" s="537" t="str">
        <f t="shared" si="12"/>
        <v>-</v>
      </c>
      <c r="J72" s="538">
        <f t="shared" si="13"/>
        <v>0</v>
      </c>
      <c r="K72" s="539" t="s">
        <v>2299</v>
      </c>
      <c r="L72" s="20"/>
    </row>
    <row r="73" spans="1:13" ht="15.75" customHeight="1">
      <c r="A73" s="14" t="s">
        <v>31</v>
      </c>
      <c r="D73" s="18">
        <v>8</v>
      </c>
      <c r="E73" s="533" t="str">
        <f t="shared" si="9"/>
        <v>-</v>
      </c>
      <c r="F73" s="534"/>
      <c r="G73" s="535" t="str">
        <f t="shared" si="10"/>
        <v>-</v>
      </c>
      <c r="H73" s="536">
        <f t="shared" si="11"/>
        <v>0</v>
      </c>
      <c r="I73" s="537" t="str">
        <f t="shared" si="12"/>
        <v>-</v>
      </c>
      <c r="J73" s="538">
        <f t="shared" si="13"/>
        <v>0</v>
      </c>
      <c r="K73" s="539" t="s">
        <v>2299</v>
      </c>
      <c r="L73" s="20"/>
    </row>
    <row r="74" spans="1:13" ht="15.75" customHeight="1">
      <c r="A74" s="14" t="s">
        <v>31</v>
      </c>
      <c r="D74" s="18">
        <v>9</v>
      </c>
      <c r="E74" s="533" t="str">
        <f t="shared" si="9"/>
        <v>-</v>
      </c>
      <c r="F74" s="534"/>
      <c r="G74" s="535" t="str">
        <f t="shared" si="10"/>
        <v>-</v>
      </c>
      <c r="H74" s="536">
        <f t="shared" si="11"/>
        <v>0</v>
      </c>
      <c r="I74" s="537" t="str">
        <f t="shared" si="12"/>
        <v>-</v>
      </c>
      <c r="J74" s="538">
        <f t="shared" si="13"/>
        <v>0</v>
      </c>
      <c r="K74" s="539" t="s">
        <v>2299</v>
      </c>
      <c r="L74" s="20"/>
    </row>
    <row r="75" spans="1:13" ht="15.75" customHeight="1">
      <c r="A75" s="14" t="s">
        <v>31</v>
      </c>
      <c r="D75" s="18">
        <v>10</v>
      </c>
      <c r="E75" s="533" t="str">
        <f t="shared" si="9"/>
        <v>-</v>
      </c>
      <c r="F75" s="534"/>
      <c r="G75" s="535" t="str">
        <f t="shared" si="10"/>
        <v>-</v>
      </c>
      <c r="H75" s="536">
        <f t="shared" si="11"/>
        <v>0</v>
      </c>
      <c r="I75" s="537" t="str">
        <f t="shared" si="12"/>
        <v>-</v>
      </c>
      <c r="J75" s="538">
        <f t="shared" si="13"/>
        <v>0</v>
      </c>
      <c r="K75" s="539" t="s">
        <v>2299</v>
      </c>
      <c r="L75" s="20"/>
    </row>
    <row r="76" spans="1:13" ht="15.75" customHeight="1">
      <c r="A76" s="14" t="s">
        <v>31</v>
      </c>
      <c r="D76" s="18">
        <v>11</v>
      </c>
      <c r="E76" s="533" t="str">
        <f t="shared" si="9"/>
        <v>-</v>
      </c>
      <c r="F76" s="534"/>
      <c r="G76" s="535" t="str">
        <f t="shared" si="10"/>
        <v>-</v>
      </c>
      <c r="H76" s="536">
        <f t="shared" si="11"/>
        <v>0</v>
      </c>
      <c r="I76" s="537" t="str">
        <f t="shared" si="12"/>
        <v>-</v>
      </c>
      <c r="J76" s="538">
        <f t="shared" si="13"/>
        <v>0</v>
      </c>
      <c r="K76" s="539" t="s">
        <v>2299</v>
      </c>
      <c r="L76" s="20"/>
    </row>
    <row r="77" spans="1:13" ht="15.75" customHeight="1">
      <c r="A77" s="14" t="s">
        <v>31</v>
      </c>
      <c r="D77" s="18">
        <v>12</v>
      </c>
      <c r="E77" s="533" t="str">
        <f t="shared" si="9"/>
        <v>-</v>
      </c>
      <c r="F77" s="534"/>
      <c r="G77" s="535" t="str">
        <f t="shared" si="10"/>
        <v>-</v>
      </c>
      <c r="H77" s="540">
        <f t="shared" si="11"/>
        <v>0</v>
      </c>
      <c r="I77" s="537" t="str">
        <f t="shared" si="12"/>
        <v>-</v>
      </c>
      <c r="J77" s="538">
        <f t="shared" si="13"/>
        <v>0</v>
      </c>
      <c r="K77" s="539" t="s">
        <v>2299</v>
      </c>
      <c r="L77" s="20"/>
    </row>
    <row r="78" spans="1:13" ht="15.75" customHeight="1">
      <c r="A78" s="14" t="s">
        <v>31</v>
      </c>
      <c r="D78" s="18">
        <v>13</v>
      </c>
      <c r="E78" s="533" t="str">
        <f t="shared" si="9"/>
        <v>-</v>
      </c>
      <c r="F78" s="534"/>
      <c r="G78" s="535" t="str">
        <f t="shared" si="10"/>
        <v>-</v>
      </c>
      <c r="H78" s="540">
        <f t="shared" si="11"/>
        <v>0</v>
      </c>
      <c r="I78" s="537" t="str">
        <f t="shared" si="12"/>
        <v>-</v>
      </c>
      <c r="J78" s="538">
        <f t="shared" si="13"/>
        <v>0</v>
      </c>
      <c r="K78" s="539" t="s">
        <v>2299</v>
      </c>
      <c r="L78" s="20"/>
    </row>
    <row r="79" spans="1:13" ht="15.75" customHeight="1">
      <c r="A79" s="14" t="s">
        <v>31</v>
      </c>
      <c r="D79" s="18">
        <v>14</v>
      </c>
      <c r="E79" s="533" t="str">
        <f t="shared" si="9"/>
        <v>-</v>
      </c>
      <c r="F79" s="534"/>
      <c r="G79" s="535" t="str">
        <f t="shared" si="10"/>
        <v>-</v>
      </c>
      <c r="H79" s="540">
        <f t="shared" si="11"/>
        <v>0</v>
      </c>
      <c r="I79" s="537" t="str">
        <f t="shared" si="12"/>
        <v>-</v>
      </c>
      <c r="J79" s="538">
        <f t="shared" si="13"/>
        <v>0</v>
      </c>
      <c r="K79" s="539" t="s">
        <v>2299</v>
      </c>
      <c r="L79" s="20"/>
    </row>
    <row r="80" spans="1:13" ht="15.75" customHeight="1">
      <c r="A80" s="14" t="s">
        <v>31</v>
      </c>
      <c r="D80" s="18">
        <v>15</v>
      </c>
      <c r="E80" s="533" t="str">
        <f t="shared" si="9"/>
        <v>-</v>
      </c>
      <c r="F80" s="534"/>
      <c r="G80" s="535" t="str">
        <f t="shared" si="10"/>
        <v>-</v>
      </c>
      <c r="H80" s="540">
        <f t="shared" si="11"/>
        <v>0</v>
      </c>
      <c r="I80" s="537" t="str">
        <f t="shared" si="12"/>
        <v>-</v>
      </c>
      <c r="J80" s="538">
        <f t="shared" si="13"/>
        <v>0</v>
      </c>
      <c r="K80" s="539" t="s">
        <v>2299</v>
      </c>
      <c r="L80" s="20"/>
    </row>
    <row r="81" spans="1:19" ht="15.75" customHeight="1">
      <c r="A81" s="14" t="s">
        <v>31</v>
      </c>
      <c r="D81" s="18">
        <v>16</v>
      </c>
      <c r="E81" s="533" t="str">
        <f t="shared" si="9"/>
        <v>-</v>
      </c>
      <c r="F81" s="534"/>
      <c r="G81" s="535" t="str">
        <f t="shared" si="10"/>
        <v>-</v>
      </c>
      <c r="H81" s="540">
        <f t="shared" si="11"/>
        <v>0</v>
      </c>
      <c r="I81" s="537" t="str">
        <f t="shared" si="12"/>
        <v>-</v>
      </c>
      <c r="J81" s="538">
        <f t="shared" si="13"/>
        <v>0</v>
      </c>
      <c r="K81" s="539" t="s">
        <v>2299</v>
      </c>
      <c r="L81" s="20"/>
    </row>
    <row r="82" spans="1:19" ht="15.75" customHeight="1">
      <c r="A82" s="14" t="s">
        <v>31</v>
      </c>
      <c r="D82" s="18">
        <v>17</v>
      </c>
      <c r="E82" s="533" t="str">
        <f t="shared" si="9"/>
        <v>-</v>
      </c>
      <c r="F82" s="534"/>
      <c r="G82" s="535" t="str">
        <f t="shared" si="10"/>
        <v>-</v>
      </c>
      <c r="H82" s="540">
        <f t="shared" si="11"/>
        <v>0</v>
      </c>
      <c r="I82" s="537" t="str">
        <f t="shared" si="12"/>
        <v>-</v>
      </c>
      <c r="J82" s="538">
        <f t="shared" si="13"/>
        <v>0</v>
      </c>
      <c r="K82" s="539" t="s">
        <v>2299</v>
      </c>
      <c r="L82" s="20"/>
    </row>
    <row r="83" spans="1:19" ht="15.75" customHeight="1">
      <c r="A83" s="14" t="s">
        <v>31</v>
      </c>
      <c r="D83" s="18">
        <v>18</v>
      </c>
      <c r="E83" s="533" t="str">
        <f t="shared" si="9"/>
        <v>-</v>
      </c>
      <c r="F83" s="534"/>
      <c r="G83" s="535" t="str">
        <f t="shared" si="10"/>
        <v>-</v>
      </c>
      <c r="H83" s="540">
        <f t="shared" si="11"/>
        <v>0</v>
      </c>
      <c r="I83" s="537" t="str">
        <f t="shared" si="12"/>
        <v>-</v>
      </c>
      <c r="J83" s="538">
        <f t="shared" si="13"/>
        <v>0</v>
      </c>
      <c r="K83" s="539" t="s">
        <v>2299</v>
      </c>
      <c r="L83" s="20"/>
    </row>
    <row r="84" spans="1:19" ht="15.75" customHeight="1">
      <c r="A84" s="14" t="s">
        <v>31</v>
      </c>
      <c r="D84" s="18">
        <v>19</v>
      </c>
      <c r="E84" s="533" t="str">
        <f t="shared" si="9"/>
        <v>-</v>
      </c>
      <c r="F84" s="534"/>
      <c r="G84" s="535" t="str">
        <f t="shared" si="10"/>
        <v>-</v>
      </c>
      <c r="H84" s="540">
        <f t="shared" si="11"/>
        <v>0</v>
      </c>
      <c r="I84" s="537" t="str">
        <f t="shared" si="12"/>
        <v>-</v>
      </c>
      <c r="J84" s="538">
        <f t="shared" si="13"/>
        <v>0</v>
      </c>
      <c r="K84" s="539" t="s">
        <v>2299</v>
      </c>
      <c r="L84" s="20"/>
    </row>
    <row r="85" spans="1:19" ht="15.75" customHeight="1">
      <c r="A85" s="14" t="s">
        <v>31</v>
      </c>
      <c r="D85" s="18">
        <v>20</v>
      </c>
      <c r="E85" s="533" t="str">
        <f t="shared" si="9"/>
        <v>-</v>
      </c>
      <c r="F85" s="534"/>
      <c r="G85" s="535" t="str">
        <f t="shared" si="10"/>
        <v>-</v>
      </c>
      <c r="H85" s="540">
        <f t="shared" si="11"/>
        <v>0</v>
      </c>
      <c r="I85" s="537" t="str">
        <f t="shared" si="12"/>
        <v>-</v>
      </c>
      <c r="J85" s="541">
        <f t="shared" si="13"/>
        <v>0</v>
      </c>
      <c r="K85" s="539" t="s">
        <v>2299</v>
      </c>
      <c r="L85" s="20"/>
    </row>
    <row r="86" spans="1:19" ht="15.75" customHeight="1">
      <c r="A86" s="14">
        <f>A53+1</f>
        <v>2</v>
      </c>
      <c r="B86" s="14" t="str">
        <f>"MA" &amp; TEXT(A86,"##000")</f>
        <v>MA002</v>
      </c>
      <c r="D86" s="18"/>
      <c r="E86" s="591" t="s">
        <v>2302</v>
      </c>
      <c r="F86" s="592"/>
      <c r="G86" s="592"/>
      <c r="H86" s="592"/>
      <c r="I86" s="327"/>
      <c r="J86" s="353">
        <f>SUM(J66:J85)</f>
        <v>10500</v>
      </c>
      <c r="K86" s="365" t="str">
        <f>+F63</f>
        <v>gl</v>
      </c>
      <c r="L86" s="20"/>
      <c r="O86" s="27" t="s">
        <v>1525</v>
      </c>
      <c r="P86" s="110">
        <v>1000</v>
      </c>
    </row>
    <row r="87" spans="1:19" ht="15.75" customHeight="1">
      <c r="D87" s="18"/>
      <c r="E87" s="593" t="s">
        <v>100</v>
      </c>
      <c r="F87" s="594"/>
      <c r="G87" s="594"/>
      <c r="H87" s="594"/>
      <c r="I87" s="594"/>
      <c r="J87" s="595"/>
      <c r="K87" s="347"/>
      <c r="L87" s="20"/>
      <c r="O87" s="27" t="s">
        <v>1524</v>
      </c>
      <c r="P87" s="110">
        <v>0</v>
      </c>
    </row>
    <row r="88" spans="1:19" ht="15.75" customHeight="1">
      <c r="A88" s="14" t="s">
        <v>84</v>
      </c>
      <c r="D88" s="18">
        <v>1</v>
      </c>
      <c r="E88" s="26" t="str">
        <f>VLOOKUP($A88,MATMO,2,FALSE)</f>
        <v>Oficial</v>
      </c>
      <c r="F88" s="311">
        <v>12</v>
      </c>
      <c r="G88" s="307" t="str">
        <f>VLOOKUP($A88,MATMO,3,FALSE)</f>
        <v>hs</v>
      </c>
      <c r="H88" s="110">
        <f>VLOOKUP($A88,MATMO,4,FALSE)*$Q$7</f>
        <v>55.38</v>
      </c>
      <c r="I88" s="354" t="str">
        <f t="shared" ref="I88:I92" si="14">+G88</f>
        <v>hs</v>
      </c>
      <c r="J88" s="350">
        <f t="shared" ref="J88:J92" si="15">+H88*F88</f>
        <v>664.56000000000006</v>
      </c>
      <c r="K88" s="360" t="s">
        <v>2299</v>
      </c>
      <c r="L88" s="20"/>
      <c r="M88" s="14" t="s">
        <v>2006</v>
      </c>
      <c r="O88" s="27" t="s">
        <v>1526</v>
      </c>
      <c r="P88" s="110">
        <v>0</v>
      </c>
    </row>
    <row r="89" spans="1:19" ht="15.75" customHeight="1">
      <c r="A89" s="14" t="s">
        <v>85</v>
      </c>
      <c r="D89" s="18">
        <v>2</v>
      </c>
      <c r="E89" s="26" t="str">
        <f>VLOOKUP($A89,MATMO,2,FALSE)</f>
        <v>Ayudante</v>
      </c>
      <c r="F89" s="311">
        <v>2</v>
      </c>
      <c r="G89" s="307" t="str">
        <f>VLOOKUP($A89,MATMO,3,FALSE)</f>
        <v>hs</v>
      </c>
      <c r="H89" s="110">
        <f>VLOOKUP($A89,MATMO,4,FALSE)*$Q$7</f>
        <v>46.87</v>
      </c>
      <c r="I89" s="354" t="str">
        <f t="shared" si="14"/>
        <v>hs</v>
      </c>
      <c r="J89" s="350">
        <f t="shared" si="15"/>
        <v>93.74</v>
      </c>
      <c r="K89" s="360" t="s">
        <v>2299</v>
      </c>
      <c r="L89" s="20"/>
      <c r="O89" s="27" t="s">
        <v>1527</v>
      </c>
      <c r="P89" s="110">
        <v>0</v>
      </c>
    </row>
    <row r="90" spans="1:19" ht="15.75" customHeight="1">
      <c r="A90" s="14" t="s">
        <v>2311</v>
      </c>
      <c r="D90" s="18">
        <v>3</v>
      </c>
      <c r="E90" s="26" t="str">
        <f>VLOOKUP($A90,MATMO,2,FALSE)</f>
        <v>Cargas Sociales Oficial</v>
      </c>
      <c r="F90" s="311">
        <f>+F88</f>
        <v>12</v>
      </c>
      <c r="G90" s="307" t="str">
        <f>VLOOKUP($A90,MATMO,3,FALSE)</f>
        <v>hs</v>
      </c>
      <c r="H90" s="110">
        <f>VLOOKUP($A90,MATMO,4,FALSE)*$Q$7</f>
        <v>52.742782499999997</v>
      </c>
      <c r="I90" s="354" t="str">
        <f t="shared" si="14"/>
        <v>hs</v>
      </c>
      <c r="J90" s="350">
        <f t="shared" si="15"/>
        <v>632.91338999999994</v>
      </c>
      <c r="K90" s="360" t="s">
        <v>2299</v>
      </c>
      <c r="L90" s="20"/>
      <c r="O90" s="27"/>
      <c r="P90" s="110">
        <v>0</v>
      </c>
    </row>
    <row r="91" spans="1:19" ht="15.75" customHeight="1">
      <c r="A91" s="14" t="s">
        <v>2312</v>
      </c>
      <c r="D91" s="18">
        <v>4</v>
      </c>
      <c r="E91" s="26" t="str">
        <f>VLOOKUP($A91,MATMO,2,FALSE)</f>
        <v>Cargas Sociales Ayudante</v>
      </c>
      <c r="F91" s="311">
        <f>+F88</f>
        <v>12</v>
      </c>
      <c r="G91" s="307" t="str">
        <f>VLOOKUP($A91,MATMO,3,FALSE)</f>
        <v>hs</v>
      </c>
      <c r="H91" s="110">
        <f>VLOOKUP($A91,MATMO,4,FALSE)*$Q$7</f>
        <v>45.108248750000001</v>
      </c>
      <c r="I91" s="354" t="str">
        <f t="shared" si="14"/>
        <v>hs</v>
      </c>
      <c r="J91" s="350">
        <f t="shared" si="15"/>
        <v>541.29898500000002</v>
      </c>
      <c r="K91" s="360" t="s">
        <v>2299</v>
      </c>
      <c r="L91" s="20"/>
      <c r="O91" s="27"/>
      <c r="P91" s="110">
        <v>0</v>
      </c>
    </row>
    <row r="92" spans="1:19" ht="15.75" customHeight="1" thickBot="1">
      <c r="A92" s="14" t="s">
        <v>83</v>
      </c>
      <c r="D92" s="18">
        <v>5</v>
      </c>
      <c r="E92" s="533" t="str">
        <f>VLOOKUP($A92,MATMO,2,FALSE)</f>
        <v>-</v>
      </c>
      <c r="F92" s="534"/>
      <c r="G92" s="535" t="str">
        <f>VLOOKUP($A92,MATMO,3,FALSE)</f>
        <v>-</v>
      </c>
      <c r="H92" s="542">
        <f>VLOOKUP($A92,MATMO,4,FALSE)*$Q$7</f>
        <v>0</v>
      </c>
      <c r="I92" s="537" t="str">
        <f t="shared" si="14"/>
        <v>-</v>
      </c>
      <c r="J92" s="538">
        <f t="shared" si="15"/>
        <v>0</v>
      </c>
      <c r="K92" s="539" t="s">
        <v>2299</v>
      </c>
      <c r="L92" s="20"/>
      <c r="O92" s="27"/>
      <c r="P92" s="110">
        <v>0</v>
      </c>
      <c r="R92" s="29" t="s">
        <v>2307</v>
      </c>
    </row>
    <row r="93" spans="1:19" ht="15.75" customHeight="1" thickBot="1">
      <c r="A93" s="14">
        <f>A53+1</f>
        <v>2</v>
      </c>
      <c r="B93" s="14" t="str">
        <f>"MO" &amp; TEXT(A93,"##000")</f>
        <v>MO002</v>
      </c>
      <c r="D93" s="18"/>
      <c r="E93" s="591" t="s">
        <v>2301</v>
      </c>
      <c r="F93" s="592"/>
      <c r="G93" s="592"/>
      <c r="H93" s="592"/>
      <c r="I93" s="327"/>
      <c r="J93" s="362">
        <f>SUM(J88:J92)</f>
        <v>1932.5123749999998</v>
      </c>
      <c r="K93" s="365" t="str">
        <f>+G88</f>
        <v>hs</v>
      </c>
      <c r="L93" s="20"/>
      <c r="N93" s="111">
        <f>+P93+R93</f>
        <v>1900</v>
      </c>
      <c r="O93" s="27"/>
      <c r="P93" s="27">
        <f>SUM(P86:P92)</f>
        <v>1000</v>
      </c>
      <c r="Q93" s="26">
        <v>0.9</v>
      </c>
      <c r="R93" s="287">
        <f>+Q93*P93</f>
        <v>900</v>
      </c>
      <c r="S93" s="288"/>
    </row>
    <row r="94" spans="1:19" ht="15.75" customHeight="1">
      <c r="D94" s="18"/>
      <c r="E94" s="593" t="s">
        <v>101</v>
      </c>
      <c r="F94" s="594"/>
      <c r="G94" s="594"/>
      <c r="H94" s="594"/>
      <c r="I94" s="594"/>
      <c r="J94" s="595"/>
      <c r="K94" s="347"/>
      <c r="L94" s="20"/>
      <c r="P94" s="14" t="s">
        <v>2308</v>
      </c>
    </row>
    <row r="95" spans="1:19" ht="15.75" customHeight="1">
      <c r="A95" s="14" t="s">
        <v>119</v>
      </c>
      <c r="D95" s="18">
        <v>1</v>
      </c>
      <c r="E95" s="26" t="str">
        <f>VLOOKUP($A95,MATMO,2,FALSE)</f>
        <v>Herramientas de Mano</v>
      </c>
      <c r="F95" s="311">
        <v>1</v>
      </c>
      <c r="G95" s="307" t="str">
        <f>VLOOKUP($A95,MATMO,3,FALSE)</f>
        <v>gl</v>
      </c>
      <c r="H95" s="110">
        <f>+(J86+J93)*$Q$5</f>
        <v>497.30049500000001</v>
      </c>
      <c r="I95" s="345" t="str">
        <f>+G95</f>
        <v>gl</v>
      </c>
      <c r="J95" s="350">
        <f t="shared" ref="J95:J99" si="16">+H95*F95</f>
        <v>497.30049500000001</v>
      </c>
      <c r="K95" s="360" t="s">
        <v>2299</v>
      </c>
      <c r="L95" s="20"/>
      <c r="M95" s="14" t="s">
        <v>2004</v>
      </c>
    </row>
    <row r="96" spans="1:19" ht="15.75" customHeight="1">
      <c r="A96" s="14" t="s">
        <v>118</v>
      </c>
      <c r="D96" s="18">
        <v>2</v>
      </c>
      <c r="E96" s="26" t="str">
        <f>VLOOKUP($A96,MATMO,2,FALSE)</f>
        <v>-</v>
      </c>
      <c r="F96" s="311"/>
      <c r="G96" s="307" t="str">
        <f>VLOOKUP($A96,MATMO,3,FALSE)</f>
        <v>-</v>
      </c>
      <c r="H96" s="110">
        <f>VLOOKUP($A96,MATMO,4,FALSE)*$Q$6</f>
        <v>0</v>
      </c>
      <c r="I96" s="543" t="str">
        <f t="shared" ref="I96:I99" si="17">+G96</f>
        <v>-</v>
      </c>
      <c r="J96" s="538">
        <f t="shared" si="16"/>
        <v>0</v>
      </c>
      <c r="K96" s="539" t="s">
        <v>2299</v>
      </c>
      <c r="L96" s="20"/>
    </row>
    <row r="97" spans="1:12" ht="15.75" customHeight="1">
      <c r="A97" s="14" t="s">
        <v>118</v>
      </c>
      <c r="D97" s="18">
        <v>3</v>
      </c>
      <c r="E97" s="26" t="str">
        <f>VLOOKUP($A97,MATMO,2,FALSE)</f>
        <v>-</v>
      </c>
      <c r="F97" s="311"/>
      <c r="G97" s="307" t="str">
        <f>VLOOKUP($A97,MATMO,3,FALSE)</f>
        <v>-</v>
      </c>
      <c r="H97" s="110">
        <f>VLOOKUP($A97,MATMO,4,FALSE)*$Q$6</f>
        <v>0</v>
      </c>
      <c r="I97" s="543" t="str">
        <f t="shared" si="17"/>
        <v>-</v>
      </c>
      <c r="J97" s="538">
        <f t="shared" si="16"/>
        <v>0</v>
      </c>
      <c r="K97" s="539" t="s">
        <v>2299</v>
      </c>
      <c r="L97" s="20"/>
    </row>
    <row r="98" spans="1:12" ht="15.75" customHeight="1">
      <c r="A98" s="14" t="s">
        <v>118</v>
      </c>
      <c r="D98" s="18">
        <v>4</v>
      </c>
      <c r="E98" s="26" t="str">
        <f>VLOOKUP($A98,MATMO,2,FALSE)</f>
        <v>-</v>
      </c>
      <c r="F98" s="311"/>
      <c r="G98" s="307" t="str">
        <f>VLOOKUP($A98,MATMO,3,FALSE)</f>
        <v>-</v>
      </c>
      <c r="H98" s="110">
        <f>VLOOKUP($A98,MATMO,4,FALSE)*$Q$6</f>
        <v>0</v>
      </c>
      <c r="I98" s="543" t="str">
        <f t="shared" si="17"/>
        <v>-</v>
      </c>
      <c r="J98" s="538">
        <f t="shared" si="16"/>
        <v>0</v>
      </c>
      <c r="K98" s="539" t="s">
        <v>2299</v>
      </c>
      <c r="L98" s="20"/>
    </row>
    <row r="99" spans="1:12" ht="15.75" customHeight="1">
      <c r="A99" s="14" t="s">
        <v>118</v>
      </c>
      <c r="D99" s="18">
        <v>5</v>
      </c>
      <c r="E99" s="26" t="str">
        <f>VLOOKUP($A99,MATMO,2,FALSE)</f>
        <v>-</v>
      </c>
      <c r="F99" s="311"/>
      <c r="G99" s="307" t="str">
        <f>VLOOKUP($A99,MATMO,3,FALSE)</f>
        <v>-</v>
      </c>
      <c r="H99" s="110">
        <f>VLOOKUP($A99,MATMO,4,FALSE)*$Q$6</f>
        <v>0</v>
      </c>
      <c r="I99" s="543" t="str">
        <f t="shared" si="17"/>
        <v>-</v>
      </c>
      <c r="J99" s="538">
        <f t="shared" si="16"/>
        <v>0</v>
      </c>
      <c r="K99" s="539" t="s">
        <v>2299</v>
      </c>
      <c r="L99" s="20"/>
    </row>
    <row r="100" spans="1:12" ht="15.75" customHeight="1">
      <c r="A100" s="14">
        <f>A53+1</f>
        <v>2</v>
      </c>
      <c r="B100" s="14" t="str">
        <f>"E" &amp; TEXT(A100,"##000")</f>
        <v>E002</v>
      </c>
      <c r="D100" s="18"/>
      <c r="E100" s="591" t="s">
        <v>2300</v>
      </c>
      <c r="F100" s="592"/>
      <c r="G100" s="592"/>
      <c r="H100" s="592"/>
      <c r="I100" s="327"/>
      <c r="J100" s="362">
        <f>SUM(J95:J99)</f>
        <v>497.30049500000001</v>
      </c>
      <c r="K100" s="365" t="s">
        <v>116</v>
      </c>
      <c r="L100" s="20"/>
    </row>
    <row r="101" spans="1:12" ht="15.75" customHeight="1">
      <c r="D101" s="18"/>
      <c r="E101" s="596"/>
      <c r="F101" s="597"/>
      <c r="G101" s="597"/>
      <c r="H101" s="597"/>
      <c r="I101" s="597"/>
      <c r="J101" s="598"/>
      <c r="K101" s="348"/>
      <c r="L101" s="20"/>
    </row>
    <row r="102" spans="1:12" ht="15.75" customHeight="1">
      <c r="D102" s="18"/>
      <c r="E102" s="591" t="s">
        <v>2306</v>
      </c>
      <c r="F102" s="592"/>
      <c r="G102" s="592"/>
      <c r="H102" s="592"/>
      <c r="I102" s="327"/>
      <c r="J102" s="308">
        <f>+J100+J93+J86</f>
        <v>12929.81287</v>
      </c>
      <c r="K102" s="365" t="str">
        <f>+F63</f>
        <v>gl</v>
      </c>
      <c r="L102" s="20"/>
    </row>
    <row r="103" spans="1:12" ht="15.75" customHeight="1">
      <c r="D103" s="18"/>
      <c r="E103" s="591" t="s">
        <v>2305</v>
      </c>
      <c r="F103" s="592"/>
      <c r="G103" s="592"/>
      <c r="H103" s="592"/>
      <c r="I103" s="406">
        <f>+$Q$9</f>
        <v>1.6902999999999999</v>
      </c>
      <c r="J103" s="308">
        <f>+$Q$9*J102</f>
        <v>21855.262694161</v>
      </c>
      <c r="K103" s="365" t="str">
        <f>+F63</f>
        <v>gl</v>
      </c>
      <c r="L103" s="20"/>
    </row>
    <row r="104" spans="1:12" ht="15.75" customHeight="1">
      <c r="A104" s="14">
        <f>A57+1</f>
        <v>2</v>
      </c>
      <c r="B104" s="14" t="str">
        <f>"TR" &amp; TEXT(A104,"##000")</f>
        <v>TR002</v>
      </c>
      <c r="C104" s="14">
        <f>+C57+1</f>
        <v>2</v>
      </c>
      <c r="D104" s="18"/>
      <c r="E104" s="591" t="s">
        <v>2304</v>
      </c>
      <c r="F104" s="592"/>
      <c r="G104" s="592"/>
      <c r="H104" s="592"/>
      <c r="I104" s="327"/>
      <c r="J104" s="308">
        <f>+J103</f>
        <v>21855.262694161</v>
      </c>
      <c r="K104" s="365" t="str">
        <f>+F63</f>
        <v>gl</v>
      </c>
      <c r="L104" s="20"/>
    </row>
    <row r="105" spans="1:12" ht="15.75" customHeight="1" thickBot="1">
      <c r="D105" s="21"/>
      <c r="E105" s="30"/>
      <c r="F105" s="30"/>
      <c r="G105" s="30"/>
      <c r="H105" s="30"/>
      <c r="I105" s="30"/>
      <c r="J105" s="30"/>
      <c r="K105" s="349"/>
      <c r="L105" s="22"/>
    </row>
    <row r="106" spans="1:12" ht="16.5" thickTop="1">
      <c r="D106" s="15"/>
      <c r="E106" s="16"/>
      <c r="F106" s="16"/>
      <c r="G106" s="16"/>
      <c r="H106" s="16"/>
      <c r="I106" s="16"/>
      <c r="J106" s="16"/>
      <c r="K106" s="16"/>
      <c r="L106" s="17"/>
    </row>
    <row r="107" spans="1:12">
      <c r="A107" s="14" t="s">
        <v>1814</v>
      </c>
      <c r="D107" s="18"/>
      <c r="E107" s="23" t="s">
        <v>95</v>
      </c>
      <c r="F107" s="24" t="str">
        <f>VLOOKUP($A107,DATRUB,3,FALSE)</f>
        <v>RUBRO I:</v>
      </c>
      <c r="G107" s="599" t="str">
        <f>VLOOKUP($A107,DATRUB,4,FALSE)</f>
        <v>PRELIMINARES</v>
      </c>
      <c r="H107" s="599"/>
      <c r="I107" s="599"/>
      <c r="J107" s="599"/>
      <c r="K107" s="599"/>
      <c r="L107" s="20"/>
    </row>
    <row r="108" spans="1:12" ht="35.1" customHeight="1">
      <c r="A108" s="14" t="s">
        <v>1817</v>
      </c>
      <c r="D108" s="18"/>
      <c r="E108" s="23" t="s">
        <v>96</v>
      </c>
      <c r="F108" s="399">
        <f>VLOOKUP($A108,DATRUB,3,FALSE)</f>
        <v>1.3</v>
      </c>
      <c r="G108" s="599" t="str">
        <f>VLOOKUP($A108,DATRUB,4,FALSE)</f>
        <v>Calculo Tramitacion y Aprobacion de Planos</v>
      </c>
      <c r="H108" s="599"/>
      <c r="I108" s="599"/>
      <c r="J108" s="599"/>
      <c r="K108" s="599"/>
      <c r="L108" s="20"/>
    </row>
    <row r="109" spans="1:12" ht="35.1" customHeight="1">
      <c r="A109" s="14" t="s">
        <v>1817</v>
      </c>
      <c r="D109" s="18"/>
      <c r="E109" s="23" t="s">
        <v>97</v>
      </c>
      <c r="F109" s="399">
        <f>VLOOKUP($A109,DATRUB,3,FALSE)</f>
        <v>1.3</v>
      </c>
      <c r="G109" s="599" t="str">
        <f>VLOOKUP($A109,DATRUB,4,FALSE)</f>
        <v>Calculo Tramitacion y Aprobacion de Planos</v>
      </c>
      <c r="H109" s="599"/>
      <c r="I109" s="599"/>
      <c r="J109" s="599"/>
      <c r="K109" s="599"/>
      <c r="L109" s="20"/>
    </row>
    <row r="110" spans="1:12">
      <c r="D110" s="18"/>
      <c r="E110" s="23" t="s">
        <v>98</v>
      </c>
      <c r="F110" s="24" t="str">
        <f>VLOOKUP($A109,DATRUB,5,FALSE)</f>
        <v>gl</v>
      </c>
      <c r="G110" s="600"/>
      <c r="H110" s="600"/>
      <c r="I110" s="600"/>
      <c r="J110" s="600"/>
      <c r="K110" s="600"/>
      <c r="L110" s="20"/>
    </row>
    <row r="111" spans="1:12">
      <c r="D111" s="18"/>
      <c r="E111" s="24" t="s">
        <v>1158</v>
      </c>
      <c r="F111" s="25" t="s">
        <v>1250</v>
      </c>
      <c r="G111" s="24" t="s">
        <v>24</v>
      </c>
      <c r="H111" s="24" t="s">
        <v>25</v>
      </c>
      <c r="I111" s="24" t="s">
        <v>24</v>
      </c>
      <c r="J111" s="24" t="s">
        <v>2298</v>
      </c>
      <c r="K111" s="24" t="s">
        <v>24</v>
      </c>
      <c r="L111" s="20"/>
    </row>
    <row r="112" spans="1:12">
      <c r="D112" s="18"/>
      <c r="E112" s="593" t="s">
        <v>99</v>
      </c>
      <c r="F112" s="594"/>
      <c r="G112" s="594"/>
      <c r="H112" s="594"/>
      <c r="I112" s="594"/>
      <c r="J112" s="594"/>
      <c r="K112" s="595"/>
      <c r="L112" s="20"/>
    </row>
    <row r="113" spans="1:13">
      <c r="A113" s="14" t="s">
        <v>2454</v>
      </c>
      <c r="D113" s="18">
        <v>1</v>
      </c>
      <c r="E113" s="355" t="str">
        <f t="shared" ref="E113:E132" si="18">VLOOKUP($A113,MATMO,2,FALSE)</f>
        <v>Calculista</v>
      </c>
      <c r="F113" s="356">
        <v>1</v>
      </c>
      <c r="G113" s="357" t="str">
        <f t="shared" ref="G113:G132" si="19">VLOOKUP($A113,MATMO,3,FALSE)</f>
        <v>gl</v>
      </c>
      <c r="H113" s="358">
        <f t="shared" ref="H113:H132" si="20">VLOOKUP($A113,MATMO,4,FALSE)*$Q$6</f>
        <v>15000</v>
      </c>
      <c r="I113" s="359" t="str">
        <f t="shared" ref="I113:I132" si="21">+G113</f>
        <v>gl</v>
      </c>
      <c r="J113" s="361">
        <f>+H113*F113</f>
        <v>15000</v>
      </c>
      <c r="K113" s="360" t="s">
        <v>2299</v>
      </c>
      <c r="L113" s="20"/>
      <c r="M113" s="14" t="s">
        <v>2005</v>
      </c>
    </row>
    <row r="114" spans="1:13">
      <c r="A114" s="14" t="s">
        <v>2455</v>
      </c>
      <c r="D114" s="18">
        <v>2</v>
      </c>
      <c r="E114" s="26" t="str">
        <f t="shared" si="18"/>
        <v>Tramitaciones</v>
      </c>
      <c r="F114" s="311">
        <v>6</v>
      </c>
      <c r="G114" s="307" t="str">
        <f t="shared" si="19"/>
        <v>gl</v>
      </c>
      <c r="H114" s="351">
        <f t="shared" si="20"/>
        <v>1000</v>
      </c>
      <c r="I114" s="354" t="str">
        <f t="shared" si="21"/>
        <v>gl</v>
      </c>
      <c r="J114" s="350">
        <f t="shared" ref="J114:J132" si="22">+H114*F114</f>
        <v>6000</v>
      </c>
      <c r="K114" s="360" t="s">
        <v>2299</v>
      </c>
      <c r="L114" s="20"/>
    </row>
    <row r="115" spans="1:13">
      <c r="A115" s="14" t="s">
        <v>2457</v>
      </c>
      <c r="D115" s="18">
        <v>3</v>
      </c>
      <c r="E115" s="26" t="str">
        <f t="shared" si="18"/>
        <v>Ploteos</v>
      </c>
      <c r="F115" s="311">
        <v>3</v>
      </c>
      <c r="G115" s="307" t="str">
        <f t="shared" si="19"/>
        <v>gl</v>
      </c>
      <c r="H115" s="351">
        <f t="shared" si="20"/>
        <v>2500</v>
      </c>
      <c r="I115" s="354" t="str">
        <f t="shared" si="21"/>
        <v>gl</v>
      </c>
      <c r="J115" s="350">
        <f t="shared" si="22"/>
        <v>7500</v>
      </c>
      <c r="K115" s="360" t="s">
        <v>2299</v>
      </c>
      <c r="L115" s="20"/>
    </row>
    <row r="116" spans="1:13">
      <c r="A116" s="14" t="s">
        <v>31</v>
      </c>
      <c r="D116" s="18">
        <v>4</v>
      </c>
      <c r="E116" s="26" t="str">
        <f t="shared" si="18"/>
        <v>-</v>
      </c>
      <c r="F116" s="311"/>
      <c r="G116" s="307" t="str">
        <f t="shared" si="19"/>
        <v>-</v>
      </c>
      <c r="H116" s="351">
        <f t="shared" si="20"/>
        <v>0</v>
      </c>
      <c r="I116" s="537" t="str">
        <f t="shared" si="21"/>
        <v>-</v>
      </c>
      <c r="J116" s="538">
        <f t="shared" si="22"/>
        <v>0</v>
      </c>
      <c r="K116" s="539" t="s">
        <v>2299</v>
      </c>
      <c r="L116" s="20"/>
    </row>
    <row r="117" spans="1:13">
      <c r="A117" s="14" t="s">
        <v>31</v>
      </c>
      <c r="D117" s="18">
        <v>5</v>
      </c>
      <c r="E117" s="26" t="str">
        <f t="shared" si="18"/>
        <v>-</v>
      </c>
      <c r="F117" s="311"/>
      <c r="G117" s="307" t="str">
        <f t="shared" si="19"/>
        <v>-</v>
      </c>
      <c r="H117" s="351">
        <f t="shared" si="20"/>
        <v>0</v>
      </c>
      <c r="I117" s="537" t="str">
        <f t="shared" si="21"/>
        <v>-</v>
      </c>
      <c r="J117" s="538">
        <f t="shared" si="22"/>
        <v>0</v>
      </c>
      <c r="K117" s="539" t="s">
        <v>2299</v>
      </c>
      <c r="L117" s="20"/>
    </row>
    <row r="118" spans="1:13">
      <c r="A118" s="14" t="s">
        <v>31</v>
      </c>
      <c r="D118" s="18">
        <v>6</v>
      </c>
      <c r="E118" s="26" t="str">
        <f t="shared" si="18"/>
        <v>-</v>
      </c>
      <c r="F118" s="311"/>
      <c r="G118" s="307" t="str">
        <f t="shared" si="19"/>
        <v>-</v>
      </c>
      <c r="H118" s="351">
        <f t="shared" si="20"/>
        <v>0</v>
      </c>
      <c r="I118" s="537" t="str">
        <f t="shared" si="21"/>
        <v>-</v>
      </c>
      <c r="J118" s="538">
        <f t="shared" si="22"/>
        <v>0</v>
      </c>
      <c r="K118" s="539" t="s">
        <v>2299</v>
      </c>
      <c r="L118" s="20"/>
    </row>
    <row r="119" spans="1:13">
      <c r="A119" s="14" t="s">
        <v>31</v>
      </c>
      <c r="D119" s="18">
        <v>7</v>
      </c>
      <c r="E119" s="26" t="str">
        <f t="shared" si="18"/>
        <v>-</v>
      </c>
      <c r="F119" s="311"/>
      <c r="G119" s="307" t="str">
        <f t="shared" si="19"/>
        <v>-</v>
      </c>
      <c r="H119" s="351">
        <f t="shared" si="20"/>
        <v>0</v>
      </c>
      <c r="I119" s="537" t="str">
        <f t="shared" si="21"/>
        <v>-</v>
      </c>
      <c r="J119" s="538">
        <f t="shared" si="22"/>
        <v>0</v>
      </c>
      <c r="K119" s="539" t="s">
        <v>2299</v>
      </c>
      <c r="L119" s="20"/>
    </row>
    <row r="120" spans="1:13">
      <c r="A120" s="14" t="s">
        <v>31</v>
      </c>
      <c r="D120" s="18">
        <v>8</v>
      </c>
      <c r="E120" s="26" t="str">
        <f t="shared" si="18"/>
        <v>-</v>
      </c>
      <c r="F120" s="311"/>
      <c r="G120" s="307" t="str">
        <f t="shared" si="19"/>
        <v>-</v>
      </c>
      <c r="H120" s="351">
        <f t="shared" si="20"/>
        <v>0</v>
      </c>
      <c r="I120" s="537" t="str">
        <f t="shared" si="21"/>
        <v>-</v>
      </c>
      <c r="J120" s="538">
        <f t="shared" si="22"/>
        <v>0</v>
      </c>
      <c r="K120" s="539" t="s">
        <v>2299</v>
      </c>
      <c r="L120" s="20"/>
    </row>
    <row r="121" spans="1:13">
      <c r="A121" s="14" t="s">
        <v>31</v>
      </c>
      <c r="D121" s="18">
        <v>9</v>
      </c>
      <c r="E121" s="26" t="str">
        <f t="shared" si="18"/>
        <v>-</v>
      </c>
      <c r="F121" s="311"/>
      <c r="G121" s="307" t="str">
        <f t="shared" si="19"/>
        <v>-</v>
      </c>
      <c r="H121" s="351">
        <f t="shared" si="20"/>
        <v>0</v>
      </c>
      <c r="I121" s="537" t="str">
        <f t="shared" si="21"/>
        <v>-</v>
      </c>
      <c r="J121" s="538">
        <f t="shared" si="22"/>
        <v>0</v>
      </c>
      <c r="K121" s="539" t="s">
        <v>2299</v>
      </c>
      <c r="L121" s="20"/>
    </row>
    <row r="122" spans="1:13">
      <c r="A122" s="14" t="s">
        <v>31</v>
      </c>
      <c r="D122" s="18">
        <v>10</v>
      </c>
      <c r="E122" s="26" t="str">
        <f t="shared" si="18"/>
        <v>-</v>
      </c>
      <c r="F122" s="311"/>
      <c r="G122" s="307" t="str">
        <f t="shared" si="19"/>
        <v>-</v>
      </c>
      <c r="H122" s="351">
        <f t="shared" si="20"/>
        <v>0</v>
      </c>
      <c r="I122" s="537" t="str">
        <f t="shared" si="21"/>
        <v>-</v>
      </c>
      <c r="J122" s="538">
        <f t="shared" si="22"/>
        <v>0</v>
      </c>
      <c r="K122" s="539" t="s">
        <v>2299</v>
      </c>
      <c r="L122" s="20"/>
    </row>
    <row r="123" spans="1:13">
      <c r="A123" s="14" t="s">
        <v>31</v>
      </c>
      <c r="D123" s="18">
        <v>11</v>
      </c>
      <c r="E123" s="26" t="str">
        <f t="shared" si="18"/>
        <v>-</v>
      </c>
      <c r="F123" s="311"/>
      <c r="G123" s="307" t="str">
        <f t="shared" si="19"/>
        <v>-</v>
      </c>
      <c r="H123" s="351">
        <f t="shared" si="20"/>
        <v>0</v>
      </c>
      <c r="I123" s="537" t="str">
        <f t="shared" si="21"/>
        <v>-</v>
      </c>
      <c r="J123" s="538">
        <f t="shared" si="22"/>
        <v>0</v>
      </c>
      <c r="K123" s="539" t="s">
        <v>2299</v>
      </c>
      <c r="L123" s="20"/>
    </row>
    <row r="124" spans="1:13">
      <c r="A124" s="14" t="s">
        <v>31</v>
      </c>
      <c r="D124" s="18">
        <v>12</v>
      </c>
      <c r="E124" s="26" t="str">
        <f t="shared" si="18"/>
        <v>-</v>
      </c>
      <c r="F124" s="311"/>
      <c r="G124" s="307" t="str">
        <f t="shared" si="19"/>
        <v>-</v>
      </c>
      <c r="H124" s="352">
        <f t="shared" si="20"/>
        <v>0</v>
      </c>
      <c r="I124" s="537" t="str">
        <f t="shared" si="21"/>
        <v>-</v>
      </c>
      <c r="J124" s="538">
        <f t="shared" si="22"/>
        <v>0</v>
      </c>
      <c r="K124" s="539" t="s">
        <v>2299</v>
      </c>
      <c r="L124" s="20"/>
    </row>
    <row r="125" spans="1:13">
      <c r="A125" s="14" t="s">
        <v>31</v>
      </c>
      <c r="D125" s="18">
        <v>13</v>
      </c>
      <c r="E125" s="26" t="str">
        <f t="shared" si="18"/>
        <v>-</v>
      </c>
      <c r="F125" s="311"/>
      <c r="G125" s="307" t="str">
        <f t="shared" si="19"/>
        <v>-</v>
      </c>
      <c r="H125" s="352">
        <f t="shared" si="20"/>
        <v>0</v>
      </c>
      <c r="I125" s="537" t="str">
        <f t="shared" si="21"/>
        <v>-</v>
      </c>
      <c r="J125" s="538">
        <f t="shared" si="22"/>
        <v>0</v>
      </c>
      <c r="K125" s="539" t="s">
        <v>2299</v>
      </c>
      <c r="L125" s="20"/>
    </row>
    <row r="126" spans="1:13">
      <c r="A126" s="14" t="s">
        <v>31</v>
      </c>
      <c r="D126" s="18">
        <v>14</v>
      </c>
      <c r="E126" s="26" t="str">
        <f t="shared" si="18"/>
        <v>-</v>
      </c>
      <c r="F126" s="311"/>
      <c r="G126" s="307" t="str">
        <f t="shared" si="19"/>
        <v>-</v>
      </c>
      <c r="H126" s="352">
        <f t="shared" si="20"/>
        <v>0</v>
      </c>
      <c r="I126" s="537" t="str">
        <f t="shared" si="21"/>
        <v>-</v>
      </c>
      <c r="J126" s="538">
        <f t="shared" si="22"/>
        <v>0</v>
      </c>
      <c r="K126" s="539" t="s">
        <v>2299</v>
      </c>
      <c r="L126" s="20"/>
    </row>
    <row r="127" spans="1:13">
      <c r="A127" s="14" t="s">
        <v>31</v>
      </c>
      <c r="D127" s="18">
        <v>15</v>
      </c>
      <c r="E127" s="26" t="str">
        <f t="shared" si="18"/>
        <v>-</v>
      </c>
      <c r="F127" s="311"/>
      <c r="G127" s="307" t="str">
        <f t="shared" si="19"/>
        <v>-</v>
      </c>
      <c r="H127" s="352">
        <f t="shared" si="20"/>
        <v>0</v>
      </c>
      <c r="I127" s="537" t="str">
        <f t="shared" si="21"/>
        <v>-</v>
      </c>
      <c r="J127" s="538">
        <f t="shared" si="22"/>
        <v>0</v>
      </c>
      <c r="K127" s="539" t="s">
        <v>2299</v>
      </c>
      <c r="L127" s="20"/>
    </row>
    <row r="128" spans="1:13">
      <c r="A128" s="14" t="s">
        <v>31</v>
      </c>
      <c r="D128" s="18">
        <v>16</v>
      </c>
      <c r="E128" s="26" t="str">
        <f t="shared" si="18"/>
        <v>-</v>
      </c>
      <c r="F128" s="311"/>
      <c r="G128" s="307" t="str">
        <f t="shared" si="19"/>
        <v>-</v>
      </c>
      <c r="H128" s="352">
        <f t="shared" si="20"/>
        <v>0</v>
      </c>
      <c r="I128" s="537" t="str">
        <f t="shared" si="21"/>
        <v>-</v>
      </c>
      <c r="J128" s="538">
        <f t="shared" si="22"/>
        <v>0</v>
      </c>
      <c r="K128" s="539" t="s">
        <v>2299</v>
      </c>
      <c r="L128" s="20"/>
    </row>
    <row r="129" spans="1:19">
      <c r="A129" s="14" t="s">
        <v>31</v>
      </c>
      <c r="D129" s="18">
        <v>17</v>
      </c>
      <c r="E129" s="26" t="str">
        <f t="shared" si="18"/>
        <v>-</v>
      </c>
      <c r="F129" s="311"/>
      <c r="G129" s="307" t="str">
        <f t="shared" si="19"/>
        <v>-</v>
      </c>
      <c r="H129" s="352">
        <f t="shared" si="20"/>
        <v>0</v>
      </c>
      <c r="I129" s="537" t="str">
        <f t="shared" si="21"/>
        <v>-</v>
      </c>
      <c r="J129" s="538">
        <f t="shared" si="22"/>
        <v>0</v>
      </c>
      <c r="K129" s="539" t="s">
        <v>2299</v>
      </c>
      <c r="L129" s="20"/>
    </row>
    <row r="130" spans="1:19">
      <c r="A130" s="14" t="s">
        <v>31</v>
      </c>
      <c r="D130" s="18">
        <v>18</v>
      </c>
      <c r="E130" s="26" t="str">
        <f t="shared" si="18"/>
        <v>-</v>
      </c>
      <c r="F130" s="311"/>
      <c r="G130" s="307" t="str">
        <f t="shared" si="19"/>
        <v>-</v>
      </c>
      <c r="H130" s="352">
        <f t="shared" si="20"/>
        <v>0</v>
      </c>
      <c r="I130" s="537" t="str">
        <f t="shared" si="21"/>
        <v>-</v>
      </c>
      <c r="J130" s="538">
        <f t="shared" si="22"/>
        <v>0</v>
      </c>
      <c r="K130" s="539" t="s">
        <v>2299</v>
      </c>
      <c r="L130" s="20"/>
    </row>
    <row r="131" spans="1:19">
      <c r="A131" s="14" t="s">
        <v>31</v>
      </c>
      <c r="D131" s="18">
        <v>19</v>
      </c>
      <c r="E131" s="26" t="str">
        <f t="shared" si="18"/>
        <v>-</v>
      </c>
      <c r="F131" s="311"/>
      <c r="G131" s="307" t="str">
        <f t="shared" si="19"/>
        <v>-</v>
      </c>
      <c r="H131" s="352">
        <f t="shared" si="20"/>
        <v>0</v>
      </c>
      <c r="I131" s="537" t="str">
        <f t="shared" si="21"/>
        <v>-</v>
      </c>
      <c r="J131" s="538">
        <f t="shared" si="22"/>
        <v>0</v>
      </c>
      <c r="K131" s="539" t="s">
        <v>2299</v>
      </c>
      <c r="L131" s="20"/>
    </row>
    <row r="132" spans="1:19">
      <c r="A132" s="14" t="s">
        <v>31</v>
      </c>
      <c r="D132" s="18">
        <v>20</v>
      </c>
      <c r="E132" s="26" t="str">
        <f t="shared" si="18"/>
        <v>-</v>
      </c>
      <c r="F132" s="311"/>
      <c r="G132" s="307" t="str">
        <f t="shared" si="19"/>
        <v>-</v>
      </c>
      <c r="H132" s="352">
        <f t="shared" si="20"/>
        <v>0</v>
      </c>
      <c r="I132" s="537" t="str">
        <f t="shared" si="21"/>
        <v>-</v>
      </c>
      <c r="J132" s="541">
        <f t="shared" si="22"/>
        <v>0</v>
      </c>
      <c r="K132" s="539" t="s">
        <v>2299</v>
      </c>
      <c r="L132" s="20"/>
    </row>
    <row r="133" spans="1:19">
      <c r="A133" s="14">
        <f>A100+1</f>
        <v>3</v>
      </c>
      <c r="B133" s="14" t="str">
        <f>"MA" &amp; TEXT(A133,"##000")</f>
        <v>MA003</v>
      </c>
      <c r="D133" s="18"/>
      <c r="E133" s="591" t="s">
        <v>2302</v>
      </c>
      <c r="F133" s="592"/>
      <c r="G133" s="592"/>
      <c r="H133" s="592"/>
      <c r="I133" s="327"/>
      <c r="J133" s="353">
        <f>SUM(J113:J132)</f>
        <v>28500</v>
      </c>
      <c r="K133" s="365" t="str">
        <f>+F110</f>
        <v>gl</v>
      </c>
      <c r="L133" s="20"/>
      <c r="O133" s="27" t="s">
        <v>1525</v>
      </c>
      <c r="P133" s="110">
        <v>10</v>
      </c>
    </row>
    <row r="134" spans="1:19">
      <c r="D134" s="18"/>
      <c r="E134" s="593" t="s">
        <v>100</v>
      </c>
      <c r="F134" s="594"/>
      <c r="G134" s="594"/>
      <c r="H134" s="594"/>
      <c r="I134" s="594"/>
      <c r="J134" s="595"/>
      <c r="K134" s="347"/>
      <c r="L134" s="20"/>
      <c r="O134" s="27" t="s">
        <v>1524</v>
      </c>
      <c r="P134" s="110">
        <v>0</v>
      </c>
    </row>
    <row r="135" spans="1:19">
      <c r="A135" s="14" t="s">
        <v>84</v>
      </c>
      <c r="D135" s="18">
        <v>1</v>
      </c>
      <c r="E135" s="26" t="str">
        <f>VLOOKUP($A135,MATMO,2,FALSE)</f>
        <v>Oficial</v>
      </c>
      <c r="F135" s="311">
        <v>0.1</v>
      </c>
      <c r="G135" s="307" t="str">
        <f>VLOOKUP($A135,MATMO,3,FALSE)</f>
        <v>hs</v>
      </c>
      <c r="H135" s="110">
        <f>VLOOKUP($A135,MATMO,4,FALSE)*$Q$7</f>
        <v>55.38</v>
      </c>
      <c r="I135" s="354" t="str">
        <f t="shared" ref="I135:I139" si="23">+G135</f>
        <v>hs</v>
      </c>
      <c r="J135" s="350">
        <f t="shared" ref="J135:J139" si="24">+H135*F135</f>
        <v>5.5380000000000003</v>
      </c>
      <c r="K135" s="360" t="s">
        <v>2299</v>
      </c>
      <c r="L135" s="20"/>
      <c r="M135" s="14" t="s">
        <v>2006</v>
      </c>
      <c r="O135" s="27" t="s">
        <v>1526</v>
      </c>
      <c r="P135" s="110">
        <v>0</v>
      </c>
    </row>
    <row r="136" spans="1:19">
      <c r="A136" s="14" t="s">
        <v>85</v>
      </c>
      <c r="D136" s="18">
        <v>2</v>
      </c>
      <c r="E136" s="26" t="str">
        <f>VLOOKUP($A136,MATMO,2,FALSE)</f>
        <v>Ayudante</v>
      </c>
      <c r="F136" s="311">
        <v>0.05</v>
      </c>
      <c r="G136" s="307" t="str">
        <f>VLOOKUP($A136,MATMO,3,FALSE)</f>
        <v>hs</v>
      </c>
      <c r="H136" s="110">
        <f>VLOOKUP($A136,MATMO,4,FALSE)*$Q$7</f>
        <v>46.87</v>
      </c>
      <c r="I136" s="354" t="str">
        <f t="shared" si="23"/>
        <v>hs</v>
      </c>
      <c r="J136" s="350">
        <f t="shared" si="24"/>
        <v>2.3435000000000001</v>
      </c>
      <c r="K136" s="360" t="s">
        <v>2299</v>
      </c>
      <c r="L136" s="20"/>
      <c r="O136" s="27" t="s">
        <v>1527</v>
      </c>
      <c r="P136" s="110">
        <v>0</v>
      </c>
    </row>
    <row r="137" spans="1:19">
      <c r="A137" s="14" t="s">
        <v>2311</v>
      </c>
      <c r="D137" s="18">
        <v>3</v>
      </c>
      <c r="E137" s="26" t="str">
        <f>VLOOKUP($A137,MATMO,2,FALSE)</f>
        <v>Cargas Sociales Oficial</v>
      </c>
      <c r="F137" s="311">
        <f>+F135</f>
        <v>0.1</v>
      </c>
      <c r="G137" s="307" t="str">
        <f>VLOOKUP($A137,MATMO,3,FALSE)</f>
        <v>hs</v>
      </c>
      <c r="H137" s="110">
        <f>VLOOKUP($A137,MATMO,4,FALSE)*$Q$7</f>
        <v>52.742782499999997</v>
      </c>
      <c r="I137" s="354" t="str">
        <f t="shared" si="23"/>
        <v>hs</v>
      </c>
      <c r="J137" s="350">
        <f t="shared" si="24"/>
        <v>5.2742782500000001</v>
      </c>
      <c r="K137" s="360" t="s">
        <v>2299</v>
      </c>
      <c r="L137" s="20"/>
      <c r="O137" s="27"/>
      <c r="P137" s="110">
        <v>0</v>
      </c>
    </row>
    <row r="138" spans="1:19">
      <c r="A138" s="14" t="s">
        <v>2312</v>
      </c>
      <c r="D138" s="18">
        <v>4</v>
      </c>
      <c r="E138" s="26" t="str">
        <f>VLOOKUP($A138,MATMO,2,FALSE)</f>
        <v>Cargas Sociales Ayudante</v>
      </c>
      <c r="F138" s="311">
        <f>+F136</f>
        <v>0.05</v>
      </c>
      <c r="G138" s="307" t="str">
        <f>VLOOKUP($A138,MATMO,3,FALSE)</f>
        <v>hs</v>
      </c>
      <c r="H138" s="110">
        <f>VLOOKUP($A138,MATMO,4,FALSE)*$Q$7</f>
        <v>45.108248750000001</v>
      </c>
      <c r="I138" s="354" t="str">
        <f t="shared" si="23"/>
        <v>hs</v>
      </c>
      <c r="J138" s="350">
        <f t="shared" si="24"/>
        <v>2.2554124375</v>
      </c>
      <c r="K138" s="360" t="s">
        <v>2299</v>
      </c>
      <c r="L138" s="20"/>
      <c r="O138" s="27"/>
      <c r="P138" s="110">
        <v>0</v>
      </c>
    </row>
    <row r="139" spans="1:19" ht="16.5" thickBot="1">
      <c r="A139" s="14" t="s">
        <v>83</v>
      </c>
      <c r="D139" s="18">
        <v>5</v>
      </c>
      <c r="E139" s="26" t="str">
        <f>VLOOKUP($A139,MATMO,2,FALSE)</f>
        <v>-</v>
      </c>
      <c r="F139" s="311"/>
      <c r="G139" s="307" t="str">
        <f>VLOOKUP($A139,MATMO,3,FALSE)</f>
        <v>-</v>
      </c>
      <c r="H139" s="110">
        <f>VLOOKUP($A139,MATMO,4,FALSE)*$Q$7</f>
        <v>0</v>
      </c>
      <c r="I139" s="537" t="str">
        <f t="shared" si="23"/>
        <v>-</v>
      </c>
      <c r="J139" s="538">
        <f t="shared" si="24"/>
        <v>0</v>
      </c>
      <c r="K139" s="539" t="s">
        <v>2299</v>
      </c>
      <c r="L139" s="20"/>
      <c r="O139" s="27"/>
      <c r="P139" s="110">
        <v>0</v>
      </c>
      <c r="R139" s="29" t="s">
        <v>2307</v>
      </c>
    </row>
    <row r="140" spans="1:19" ht="16.5" thickBot="1">
      <c r="A140" s="14">
        <f>A100+1</f>
        <v>3</v>
      </c>
      <c r="B140" s="14" t="str">
        <f>"MO" &amp; TEXT(A140,"##000")</f>
        <v>MO003</v>
      </c>
      <c r="D140" s="18"/>
      <c r="E140" s="591" t="s">
        <v>2301</v>
      </c>
      <c r="F140" s="592"/>
      <c r="G140" s="592"/>
      <c r="H140" s="592"/>
      <c r="I140" s="327"/>
      <c r="J140" s="362">
        <f>SUM(J135:J139)</f>
        <v>15.411190687500001</v>
      </c>
      <c r="K140" s="365" t="str">
        <f>+G135</f>
        <v>hs</v>
      </c>
      <c r="L140" s="20"/>
      <c r="N140" s="111">
        <f>+P140+R140</f>
        <v>19</v>
      </c>
      <c r="O140" s="27"/>
      <c r="P140" s="27">
        <f>SUM(P133:P139)</f>
        <v>10</v>
      </c>
      <c r="Q140" s="26">
        <v>0.9</v>
      </c>
      <c r="R140" s="287">
        <f>+Q140*P140</f>
        <v>9</v>
      </c>
      <c r="S140" s="288"/>
    </row>
    <row r="141" spans="1:19">
      <c r="D141" s="18"/>
      <c r="E141" s="593" t="s">
        <v>101</v>
      </c>
      <c r="F141" s="594"/>
      <c r="G141" s="594"/>
      <c r="H141" s="594"/>
      <c r="I141" s="594"/>
      <c r="J141" s="595"/>
      <c r="K141" s="347"/>
      <c r="L141" s="20"/>
      <c r="P141" s="14" t="s">
        <v>2308</v>
      </c>
    </row>
    <row r="142" spans="1:19">
      <c r="A142" s="14" t="s">
        <v>119</v>
      </c>
      <c r="D142" s="18">
        <v>1</v>
      </c>
      <c r="E142" s="26" t="str">
        <f>VLOOKUP($A142,MATMO,2,FALSE)</f>
        <v>Herramientas de Mano</v>
      </c>
      <c r="F142" s="311">
        <v>1</v>
      </c>
      <c r="G142" s="307" t="str">
        <f>VLOOKUP($A142,MATMO,3,FALSE)</f>
        <v>gl</v>
      </c>
      <c r="H142" s="110">
        <f>+(J133+J140)*$Q$5</f>
        <v>1140.6164476275001</v>
      </c>
      <c r="I142" s="345" t="str">
        <f>+G142</f>
        <v>gl</v>
      </c>
      <c r="J142" s="350">
        <f t="shared" ref="J142:J146" si="25">+H142*F142</f>
        <v>1140.6164476275001</v>
      </c>
      <c r="K142" s="360" t="s">
        <v>2299</v>
      </c>
      <c r="L142" s="20"/>
      <c r="M142" s="14" t="s">
        <v>2004</v>
      </c>
    </row>
    <row r="143" spans="1:19">
      <c r="A143" s="14" t="s">
        <v>118</v>
      </c>
      <c r="D143" s="18">
        <v>2</v>
      </c>
      <c r="E143" s="26" t="str">
        <f>VLOOKUP($A143,MATMO,2,FALSE)</f>
        <v>-</v>
      </c>
      <c r="F143" s="311"/>
      <c r="G143" s="307" t="str">
        <f>VLOOKUP($A143,MATMO,3,FALSE)</f>
        <v>-</v>
      </c>
      <c r="H143" s="110">
        <f>VLOOKUP($A143,MATMO,4,FALSE)*$Q$6</f>
        <v>0</v>
      </c>
      <c r="I143" s="543" t="str">
        <f t="shared" ref="I143:I146" si="26">+G143</f>
        <v>-</v>
      </c>
      <c r="J143" s="538">
        <f t="shared" si="25"/>
        <v>0</v>
      </c>
      <c r="K143" s="539" t="s">
        <v>2299</v>
      </c>
      <c r="L143" s="20"/>
    </row>
    <row r="144" spans="1:19">
      <c r="A144" s="14" t="s">
        <v>118</v>
      </c>
      <c r="D144" s="18">
        <v>3</v>
      </c>
      <c r="E144" s="26" t="str">
        <f>VLOOKUP($A144,MATMO,2,FALSE)</f>
        <v>-</v>
      </c>
      <c r="F144" s="311"/>
      <c r="G144" s="307" t="str">
        <f>VLOOKUP($A144,MATMO,3,FALSE)</f>
        <v>-</v>
      </c>
      <c r="H144" s="110">
        <f>VLOOKUP($A144,MATMO,4,FALSE)*$Q$6</f>
        <v>0</v>
      </c>
      <c r="I144" s="543" t="str">
        <f t="shared" si="26"/>
        <v>-</v>
      </c>
      <c r="J144" s="538">
        <f t="shared" si="25"/>
        <v>0</v>
      </c>
      <c r="K144" s="539" t="s">
        <v>2299</v>
      </c>
      <c r="L144" s="20"/>
    </row>
    <row r="145" spans="1:13">
      <c r="A145" s="14" t="s">
        <v>118</v>
      </c>
      <c r="D145" s="18">
        <v>4</v>
      </c>
      <c r="E145" s="26" t="str">
        <f>VLOOKUP($A145,MATMO,2,FALSE)</f>
        <v>-</v>
      </c>
      <c r="F145" s="311"/>
      <c r="G145" s="307" t="str">
        <f>VLOOKUP($A145,MATMO,3,FALSE)</f>
        <v>-</v>
      </c>
      <c r="H145" s="110">
        <f>VLOOKUP($A145,MATMO,4,FALSE)*$Q$6</f>
        <v>0</v>
      </c>
      <c r="I145" s="543" t="str">
        <f t="shared" si="26"/>
        <v>-</v>
      </c>
      <c r="J145" s="538">
        <f t="shared" si="25"/>
        <v>0</v>
      </c>
      <c r="K145" s="539" t="s">
        <v>2299</v>
      </c>
      <c r="L145" s="20"/>
    </row>
    <row r="146" spans="1:13">
      <c r="A146" s="14" t="s">
        <v>118</v>
      </c>
      <c r="D146" s="18">
        <v>5</v>
      </c>
      <c r="E146" s="26" t="str">
        <f>VLOOKUP($A146,MATMO,2,FALSE)</f>
        <v>-</v>
      </c>
      <c r="F146" s="311"/>
      <c r="G146" s="307" t="str">
        <f>VLOOKUP($A146,MATMO,3,FALSE)</f>
        <v>-</v>
      </c>
      <c r="H146" s="110">
        <f>VLOOKUP($A146,MATMO,4,FALSE)*$Q$6</f>
        <v>0</v>
      </c>
      <c r="I146" s="543" t="str">
        <f t="shared" si="26"/>
        <v>-</v>
      </c>
      <c r="J146" s="538">
        <f t="shared" si="25"/>
        <v>0</v>
      </c>
      <c r="K146" s="539" t="s">
        <v>2299</v>
      </c>
      <c r="L146" s="20"/>
    </row>
    <row r="147" spans="1:13">
      <c r="A147" s="14">
        <f>A100+1</f>
        <v>3</v>
      </c>
      <c r="B147" s="14" t="str">
        <f>"E" &amp; TEXT(A147,"##000")</f>
        <v>E003</v>
      </c>
      <c r="D147" s="18"/>
      <c r="E147" s="591" t="s">
        <v>2300</v>
      </c>
      <c r="F147" s="592"/>
      <c r="G147" s="592"/>
      <c r="H147" s="592"/>
      <c r="I147" s="327"/>
      <c r="J147" s="362">
        <f>SUM(J142:J146)</f>
        <v>1140.6164476275001</v>
      </c>
      <c r="K147" s="365" t="s">
        <v>116</v>
      </c>
      <c r="L147" s="20"/>
    </row>
    <row r="148" spans="1:13">
      <c r="D148" s="18"/>
      <c r="E148" s="596"/>
      <c r="F148" s="597"/>
      <c r="G148" s="597"/>
      <c r="H148" s="597"/>
      <c r="I148" s="597"/>
      <c r="J148" s="598"/>
      <c r="K148" s="348"/>
      <c r="L148" s="20"/>
    </row>
    <row r="149" spans="1:13">
      <c r="D149" s="18"/>
      <c r="E149" s="591" t="s">
        <v>2306</v>
      </c>
      <c r="F149" s="592"/>
      <c r="G149" s="592"/>
      <c r="H149" s="592"/>
      <c r="I149" s="327"/>
      <c r="J149" s="308">
        <f>+J147+J140+J133</f>
        <v>29656.027638315001</v>
      </c>
      <c r="K149" s="365" t="str">
        <f>+F110</f>
        <v>gl</v>
      </c>
      <c r="L149" s="20"/>
    </row>
    <row r="150" spans="1:13">
      <c r="D150" s="18"/>
      <c r="E150" s="591" t="s">
        <v>2305</v>
      </c>
      <c r="F150" s="592"/>
      <c r="G150" s="592"/>
      <c r="H150" s="592"/>
      <c r="I150" s="406">
        <f>+$Q$9</f>
        <v>1.6902999999999999</v>
      </c>
      <c r="J150" s="308">
        <f>+$Q$9*J149</f>
        <v>50127.583517043844</v>
      </c>
      <c r="K150" s="365" t="str">
        <f>+F110</f>
        <v>gl</v>
      </c>
      <c r="L150" s="20"/>
    </row>
    <row r="151" spans="1:13">
      <c r="A151" s="14">
        <f>A104+1</f>
        <v>3</v>
      </c>
      <c r="B151" s="14" t="str">
        <f>"TR" &amp; TEXT(A151,"##000")</f>
        <v>TR003</v>
      </c>
      <c r="C151" s="14">
        <f>+C104+1</f>
        <v>3</v>
      </c>
      <c r="D151" s="18"/>
      <c r="E151" s="591" t="s">
        <v>2304</v>
      </c>
      <c r="F151" s="592"/>
      <c r="G151" s="592"/>
      <c r="H151" s="592"/>
      <c r="I151" s="327"/>
      <c r="J151" s="308">
        <f>+J150</f>
        <v>50127.583517043844</v>
      </c>
      <c r="K151" s="365" t="str">
        <f>+F110</f>
        <v>gl</v>
      </c>
      <c r="L151" s="20"/>
    </row>
    <row r="152" spans="1:13" ht="16.5" thickBot="1">
      <c r="D152" s="21"/>
      <c r="E152" s="30"/>
      <c r="F152" s="30"/>
      <c r="G152" s="30"/>
      <c r="H152" s="30"/>
      <c r="I152" s="30"/>
      <c r="J152" s="30"/>
      <c r="K152" s="349"/>
      <c r="L152" s="22"/>
    </row>
    <row r="153" spans="1:13" ht="16.5" thickTop="1">
      <c r="D153" s="15"/>
      <c r="E153" s="16"/>
      <c r="F153" s="16"/>
      <c r="G153" s="16"/>
      <c r="H153" s="16"/>
      <c r="I153" s="16"/>
      <c r="J153" s="16"/>
      <c r="K153" s="16"/>
      <c r="L153" s="17"/>
    </row>
    <row r="154" spans="1:13">
      <c r="A154" s="14" t="s">
        <v>1814</v>
      </c>
      <c r="D154" s="18"/>
      <c r="E154" s="23" t="s">
        <v>95</v>
      </c>
      <c r="F154" s="24" t="str">
        <f>VLOOKUP($A154,DATRUB,3,FALSE)</f>
        <v>RUBRO I:</v>
      </c>
      <c r="G154" s="599" t="str">
        <f>VLOOKUP($A154,DATRUB,4,FALSE)</f>
        <v>PRELIMINARES</v>
      </c>
      <c r="H154" s="599"/>
      <c r="I154" s="599"/>
      <c r="J154" s="599"/>
      <c r="K154" s="599"/>
      <c r="L154" s="20"/>
    </row>
    <row r="155" spans="1:13" ht="35.1" customHeight="1">
      <c r="A155" s="14" t="s">
        <v>1818</v>
      </c>
      <c r="D155" s="18"/>
      <c r="E155" s="23" t="s">
        <v>96</v>
      </c>
      <c r="F155" s="399">
        <f>VLOOKUP($A155,DATRUB,3,FALSE)</f>
        <v>1.4</v>
      </c>
      <c r="G155" s="599" t="str">
        <f>VLOOKUP($A155,DATRUB,4,FALSE)</f>
        <v>Equipamiento Oficina Direccion de Obra</v>
      </c>
      <c r="H155" s="599"/>
      <c r="I155" s="599"/>
      <c r="J155" s="599"/>
      <c r="K155" s="599"/>
      <c r="L155" s="20"/>
    </row>
    <row r="156" spans="1:13" ht="35.1" customHeight="1">
      <c r="A156" s="14" t="s">
        <v>1818</v>
      </c>
      <c r="D156" s="18"/>
      <c r="E156" s="23" t="s">
        <v>97</v>
      </c>
      <c r="F156" s="399">
        <f>VLOOKUP($A156,DATRUB,3,FALSE)</f>
        <v>1.4</v>
      </c>
      <c r="G156" s="599" t="str">
        <f>VLOOKUP($A156,DATRUB,4,FALSE)</f>
        <v>Equipamiento Oficina Direccion de Obra</v>
      </c>
      <c r="H156" s="599"/>
      <c r="I156" s="599"/>
      <c r="J156" s="599"/>
      <c r="K156" s="599"/>
      <c r="L156" s="20"/>
    </row>
    <row r="157" spans="1:13">
      <c r="D157" s="18"/>
      <c r="E157" s="23" t="s">
        <v>98</v>
      </c>
      <c r="F157" s="24" t="str">
        <f>VLOOKUP($A156,DATRUB,5,FALSE)</f>
        <v>gl</v>
      </c>
      <c r="G157" s="600"/>
      <c r="H157" s="600"/>
      <c r="I157" s="600"/>
      <c r="J157" s="600"/>
      <c r="K157" s="600"/>
      <c r="L157" s="20"/>
    </row>
    <row r="158" spans="1:13">
      <c r="D158" s="18"/>
      <c r="E158" s="24" t="s">
        <v>1158</v>
      </c>
      <c r="F158" s="25" t="s">
        <v>1250</v>
      </c>
      <c r="G158" s="24" t="s">
        <v>24</v>
      </c>
      <c r="H158" s="24" t="s">
        <v>25</v>
      </c>
      <c r="I158" s="24" t="s">
        <v>24</v>
      </c>
      <c r="J158" s="24" t="s">
        <v>2298</v>
      </c>
      <c r="K158" s="24" t="s">
        <v>24</v>
      </c>
      <c r="L158" s="20"/>
    </row>
    <row r="159" spans="1:13">
      <c r="D159" s="18"/>
      <c r="E159" s="593" t="s">
        <v>99</v>
      </c>
      <c r="F159" s="594"/>
      <c r="G159" s="594"/>
      <c r="H159" s="594"/>
      <c r="I159" s="594"/>
      <c r="J159" s="594"/>
      <c r="K159" s="595"/>
      <c r="L159" s="20"/>
    </row>
    <row r="160" spans="1:13">
      <c r="A160" s="14" t="s">
        <v>2451</v>
      </c>
      <c r="D160" s="18">
        <v>1</v>
      </c>
      <c r="E160" s="355" t="str">
        <f t="shared" ref="E160:E179" si="27">VLOOKUP($A160,MATMO,2,FALSE)</f>
        <v>Accesorios</v>
      </c>
      <c r="F160" s="356">
        <v>10</v>
      </c>
      <c r="G160" s="357" t="str">
        <f t="shared" ref="G160:G179" si="28">VLOOKUP($A160,MATMO,3,FALSE)</f>
        <v>gl</v>
      </c>
      <c r="H160" s="358">
        <f t="shared" ref="H160:H179" si="29">VLOOKUP($A160,MATMO,4,FALSE)*$Q$6</f>
        <v>500</v>
      </c>
      <c r="I160" s="359" t="str">
        <f t="shared" ref="I160:I179" si="30">+G160</f>
        <v>gl</v>
      </c>
      <c r="J160" s="361">
        <f>+H160*F160</f>
        <v>5000</v>
      </c>
      <c r="K160" s="360" t="s">
        <v>2299</v>
      </c>
      <c r="L160" s="20"/>
      <c r="M160" s="14" t="s">
        <v>2005</v>
      </c>
    </row>
    <row r="161" spans="1:12">
      <c r="A161" s="14" t="s">
        <v>31</v>
      </c>
      <c r="D161" s="18">
        <v>2</v>
      </c>
      <c r="E161" s="26" t="str">
        <f t="shared" si="27"/>
        <v>-</v>
      </c>
      <c r="F161" s="311"/>
      <c r="G161" s="307" t="str">
        <f t="shared" si="28"/>
        <v>-</v>
      </c>
      <c r="H161" s="351">
        <f t="shared" si="29"/>
        <v>0</v>
      </c>
      <c r="I161" s="537" t="str">
        <f t="shared" si="30"/>
        <v>-</v>
      </c>
      <c r="J161" s="538">
        <f t="shared" ref="J161:J179" si="31">+H161*F161</f>
        <v>0</v>
      </c>
      <c r="K161" s="539" t="s">
        <v>2299</v>
      </c>
      <c r="L161" s="20"/>
    </row>
    <row r="162" spans="1:12">
      <c r="A162" s="14" t="s">
        <v>31</v>
      </c>
      <c r="D162" s="18">
        <v>3</v>
      </c>
      <c r="E162" s="26" t="str">
        <f t="shared" si="27"/>
        <v>-</v>
      </c>
      <c r="F162" s="311"/>
      <c r="G162" s="307" t="str">
        <f t="shared" si="28"/>
        <v>-</v>
      </c>
      <c r="H162" s="351">
        <f t="shared" si="29"/>
        <v>0</v>
      </c>
      <c r="I162" s="537" t="str">
        <f t="shared" si="30"/>
        <v>-</v>
      </c>
      <c r="J162" s="538">
        <f t="shared" si="31"/>
        <v>0</v>
      </c>
      <c r="K162" s="539" t="s">
        <v>2299</v>
      </c>
      <c r="L162" s="20"/>
    </row>
    <row r="163" spans="1:12">
      <c r="A163" s="14" t="s">
        <v>31</v>
      </c>
      <c r="D163" s="18">
        <v>4</v>
      </c>
      <c r="E163" s="26" t="str">
        <f t="shared" si="27"/>
        <v>-</v>
      </c>
      <c r="F163" s="311"/>
      <c r="G163" s="307" t="str">
        <f t="shared" si="28"/>
        <v>-</v>
      </c>
      <c r="H163" s="351">
        <f t="shared" si="29"/>
        <v>0</v>
      </c>
      <c r="I163" s="537" t="str">
        <f t="shared" si="30"/>
        <v>-</v>
      </c>
      <c r="J163" s="538">
        <f t="shared" si="31"/>
        <v>0</v>
      </c>
      <c r="K163" s="539" t="s">
        <v>2299</v>
      </c>
      <c r="L163" s="20"/>
    </row>
    <row r="164" spans="1:12">
      <c r="A164" s="14" t="s">
        <v>31</v>
      </c>
      <c r="D164" s="18">
        <v>5</v>
      </c>
      <c r="E164" s="26" t="str">
        <f t="shared" si="27"/>
        <v>-</v>
      </c>
      <c r="F164" s="311"/>
      <c r="G164" s="307" t="str">
        <f t="shared" si="28"/>
        <v>-</v>
      </c>
      <c r="H164" s="351">
        <f t="shared" si="29"/>
        <v>0</v>
      </c>
      <c r="I164" s="537" t="str">
        <f t="shared" si="30"/>
        <v>-</v>
      </c>
      <c r="J164" s="538">
        <f t="shared" si="31"/>
        <v>0</v>
      </c>
      <c r="K164" s="539" t="s">
        <v>2299</v>
      </c>
      <c r="L164" s="20"/>
    </row>
    <row r="165" spans="1:12">
      <c r="A165" s="14" t="s">
        <v>31</v>
      </c>
      <c r="D165" s="18">
        <v>6</v>
      </c>
      <c r="E165" s="26" t="str">
        <f t="shared" si="27"/>
        <v>-</v>
      </c>
      <c r="F165" s="311"/>
      <c r="G165" s="307" t="str">
        <f t="shared" si="28"/>
        <v>-</v>
      </c>
      <c r="H165" s="351">
        <f t="shared" si="29"/>
        <v>0</v>
      </c>
      <c r="I165" s="537" t="str">
        <f t="shared" si="30"/>
        <v>-</v>
      </c>
      <c r="J165" s="538">
        <f t="shared" si="31"/>
        <v>0</v>
      </c>
      <c r="K165" s="539" t="s">
        <v>2299</v>
      </c>
      <c r="L165" s="20"/>
    </row>
    <row r="166" spans="1:12">
      <c r="A166" s="14" t="s">
        <v>31</v>
      </c>
      <c r="D166" s="18">
        <v>7</v>
      </c>
      <c r="E166" s="26" t="str">
        <f t="shared" si="27"/>
        <v>-</v>
      </c>
      <c r="F166" s="311"/>
      <c r="G166" s="307" t="str">
        <f t="shared" si="28"/>
        <v>-</v>
      </c>
      <c r="H166" s="351">
        <f t="shared" si="29"/>
        <v>0</v>
      </c>
      <c r="I166" s="537" t="str">
        <f t="shared" si="30"/>
        <v>-</v>
      </c>
      <c r="J166" s="538">
        <f t="shared" si="31"/>
        <v>0</v>
      </c>
      <c r="K166" s="539" t="s">
        <v>2299</v>
      </c>
      <c r="L166" s="20"/>
    </row>
    <row r="167" spans="1:12">
      <c r="A167" s="14" t="s">
        <v>31</v>
      </c>
      <c r="D167" s="18">
        <v>8</v>
      </c>
      <c r="E167" s="26" t="str">
        <f t="shared" si="27"/>
        <v>-</v>
      </c>
      <c r="F167" s="311"/>
      <c r="G167" s="307" t="str">
        <f t="shared" si="28"/>
        <v>-</v>
      </c>
      <c r="H167" s="351">
        <f t="shared" si="29"/>
        <v>0</v>
      </c>
      <c r="I167" s="537" t="str">
        <f t="shared" si="30"/>
        <v>-</v>
      </c>
      <c r="J167" s="538">
        <f t="shared" si="31"/>
        <v>0</v>
      </c>
      <c r="K167" s="539" t="s">
        <v>2299</v>
      </c>
      <c r="L167" s="20"/>
    </row>
    <row r="168" spans="1:12">
      <c r="A168" s="14" t="s">
        <v>31</v>
      </c>
      <c r="D168" s="18">
        <v>9</v>
      </c>
      <c r="E168" s="26" t="str">
        <f t="shared" si="27"/>
        <v>-</v>
      </c>
      <c r="F168" s="311"/>
      <c r="G168" s="307" t="str">
        <f t="shared" si="28"/>
        <v>-</v>
      </c>
      <c r="H168" s="351">
        <f t="shared" si="29"/>
        <v>0</v>
      </c>
      <c r="I168" s="537" t="str">
        <f t="shared" si="30"/>
        <v>-</v>
      </c>
      <c r="J168" s="538">
        <f t="shared" si="31"/>
        <v>0</v>
      </c>
      <c r="K168" s="539" t="s">
        <v>2299</v>
      </c>
      <c r="L168" s="20"/>
    </row>
    <row r="169" spans="1:12">
      <c r="A169" s="14" t="s">
        <v>31</v>
      </c>
      <c r="D169" s="18">
        <v>10</v>
      </c>
      <c r="E169" s="26" t="str">
        <f t="shared" si="27"/>
        <v>-</v>
      </c>
      <c r="F169" s="311"/>
      <c r="G169" s="307" t="str">
        <f t="shared" si="28"/>
        <v>-</v>
      </c>
      <c r="H169" s="351">
        <f t="shared" si="29"/>
        <v>0</v>
      </c>
      <c r="I169" s="537" t="str">
        <f t="shared" si="30"/>
        <v>-</v>
      </c>
      <c r="J169" s="538">
        <f t="shared" si="31"/>
        <v>0</v>
      </c>
      <c r="K169" s="539" t="s">
        <v>2299</v>
      </c>
      <c r="L169" s="20"/>
    </row>
    <row r="170" spans="1:12">
      <c r="A170" s="14" t="s">
        <v>31</v>
      </c>
      <c r="D170" s="18">
        <v>11</v>
      </c>
      <c r="E170" s="26" t="str">
        <f t="shared" si="27"/>
        <v>-</v>
      </c>
      <c r="F170" s="311"/>
      <c r="G170" s="307" t="str">
        <f t="shared" si="28"/>
        <v>-</v>
      </c>
      <c r="H170" s="351">
        <f t="shared" si="29"/>
        <v>0</v>
      </c>
      <c r="I170" s="537" t="str">
        <f t="shared" si="30"/>
        <v>-</v>
      </c>
      <c r="J170" s="538">
        <f t="shared" si="31"/>
        <v>0</v>
      </c>
      <c r="K170" s="539" t="s">
        <v>2299</v>
      </c>
      <c r="L170" s="20"/>
    </row>
    <row r="171" spans="1:12">
      <c r="A171" s="14" t="s">
        <v>31</v>
      </c>
      <c r="D171" s="18">
        <v>12</v>
      </c>
      <c r="E171" s="26" t="str">
        <f t="shared" si="27"/>
        <v>-</v>
      </c>
      <c r="F171" s="311"/>
      <c r="G171" s="307" t="str">
        <f t="shared" si="28"/>
        <v>-</v>
      </c>
      <c r="H171" s="352">
        <f t="shared" si="29"/>
        <v>0</v>
      </c>
      <c r="I171" s="537" t="str">
        <f t="shared" si="30"/>
        <v>-</v>
      </c>
      <c r="J171" s="538">
        <f t="shared" si="31"/>
        <v>0</v>
      </c>
      <c r="K171" s="539" t="s">
        <v>2299</v>
      </c>
      <c r="L171" s="20"/>
    </row>
    <row r="172" spans="1:12">
      <c r="A172" s="14" t="s">
        <v>31</v>
      </c>
      <c r="D172" s="18">
        <v>13</v>
      </c>
      <c r="E172" s="26" t="str">
        <f t="shared" si="27"/>
        <v>-</v>
      </c>
      <c r="F172" s="311"/>
      <c r="G172" s="307" t="str">
        <f t="shared" si="28"/>
        <v>-</v>
      </c>
      <c r="H172" s="352">
        <f t="shared" si="29"/>
        <v>0</v>
      </c>
      <c r="I172" s="537" t="str">
        <f t="shared" si="30"/>
        <v>-</v>
      </c>
      <c r="J172" s="538">
        <f t="shared" si="31"/>
        <v>0</v>
      </c>
      <c r="K172" s="539" t="s">
        <v>2299</v>
      </c>
      <c r="L172" s="20"/>
    </row>
    <row r="173" spans="1:12">
      <c r="A173" s="14" t="s">
        <v>31</v>
      </c>
      <c r="D173" s="18">
        <v>14</v>
      </c>
      <c r="E173" s="26" t="str">
        <f t="shared" si="27"/>
        <v>-</v>
      </c>
      <c r="F173" s="311"/>
      <c r="G173" s="307" t="str">
        <f t="shared" si="28"/>
        <v>-</v>
      </c>
      <c r="H173" s="352">
        <f t="shared" si="29"/>
        <v>0</v>
      </c>
      <c r="I173" s="537" t="str">
        <f t="shared" si="30"/>
        <v>-</v>
      </c>
      <c r="J173" s="538">
        <f t="shared" si="31"/>
        <v>0</v>
      </c>
      <c r="K173" s="539" t="s">
        <v>2299</v>
      </c>
      <c r="L173" s="20"/>
    </row>
    <row r="174" spans="1:12">
      <c r="A174" s="14" t="s">
        <v>31</v>
      </c>
      <c r="D174" s="18">
        <v>15</v>
      </c>
      <c r="E174" s="26" t="str">
        <f t="shared" si="27"/>
        <v>-</v>
      </c>
      <c r="F174" s="311"/>
      <c r="G174" s="307" t="str">
        <f t="shared" si="28"/>
        <v>-</v>
      </c>
      <c r="H174" s="352">
        <f t="shared" si="29"/>
        <v>0</v>
      </c>
      <c r="I174" s="537" t="str">
        <f t="shared" si="30"/>
        <v>-</v>
      </c>
      <c r="J174" s="538">
        <f t="shared" si="31"/>
        <v>0</v>
      </c>
      <c r="K174" s="539" t="s">
        <v>2299</v>
      </c>
      <c r="L174" s="20"/>
    </row>
    <row r="175" spans="1:12">
      <c r="A175" s="14" t="s">
        <v>31</v>
      </c>
      <c r="D175" s="18">
        <v>16</v>
      </c>
      <c r="E175" s="26" t="str">
        <f t="shared" si="27"/>
        <v>-</v>
      </c>
      <c r="F175" s="311"/>
      <c r="G175" s="307" t="str">
        <f t="shared" si="28"/>
        <v>-</v>
      </c>
      <c r="H175" s="352">
        <f t="shared" si="29"/>
        <v>0</v>
      </c>
      <c r="I175" s="537" t="str">
        <f t="shared" si="30"/>
        <v>-</v>
      </c>
      <c r="J175" s="538">
        <f t="shared" si="31"/>
        <v>0</v>
      </c>
      <c r="K175" s="539" t="s">
        <v>2299</v>
      </c>
      <c r="L175" s="20"/>
    </row>
    <row r="176" spans="1:12">
      <c r="A176" s="14" t="s">
        <v>31</v>
      </c>
      <c r="D176" s="18">
        <v>17</v>
      </c>
      <c r="E176" s="26" t="str">
        <f t="shared" si="27"/>
        <v>-</v>
      </c>
      <c r="F176" s="311"/>
      <c r="G176" s="307" t="str">
        <f t="shared" si="28"/>
        <v>-</v>
      </c>
      <c r="H176" s="352">
        <f t="shared" si="29"/>
        <v>0</v>
      </c>
      <c r="I176" s="537" t="str">
        <f t="shared" si="30"/>
        <v>-</v>
      </c>
      <c r="J176" s="538">
        <f t="shared" si="31"/>
        <v>0</v>
      </c>
      <c r="K176" s="539" t="s">
        <v>2299</v>
      </c>
      <c r="L176" s="20"/>
    </row>
    <row r="177" spans="1:19">
      <c r="A177" s="14" t="s">
        <v>31</v>
      </c>
      <c r="D177" s="18">
        <v>18</v>
      </c>
      <c r="E177" s="26" t="str">
        <f t="shared" si="27"/>
        <v>-</v>
      </c>
      <c r="F177" s="311"/>
      <c r="G177" s="307" t="str">
        <f t="shared" si="28"/>
        <v>-</v>
      </c>
      <c r="H177" s="352">
        <f t="shared" si="29"/>
        <v>0</v>
      </c>
      <c r="I177" s="537" t="str">
        <f t="shared" si="30"/>
        <v>-</v>
      </c>
      <c r="J177" s="538">
        <f t="shared" si="31"/>
        <v>0</v>
      </c>
      <c r="K177" s="539" t="s">
        <v>2299</v>
      </c>
      <c r="L177" s="20"/>
    </row>
    <row r="178" spans="1:19">
      <c r="A178" s="14" t="s">
        <v>31</v>
      </c>
      <c r="D178" s="18">
        <v>19</v>
      </c>
      <c r="E178" s="26" t="str">
        <f t="shared" si="27"/>
        <v>-</v>
      </c>
      <c r="F178" s="311"/>
      <c r="G178" s="307" t="str">
        <f t="shared" si="28"/>
        <v>-</v>
      </c>
      <c r="H178" s="352">
        <f t="shared" si="29"/>
        <v>0</v>
      </c>
      <c r="I178" s="537" t="str">
        <f t="shared" si="30"/>
        <v>-</v>
      </c>
      <c r="J178" s="538">
        <f t="shared" si="31"/>
        <v>0</v>
      </c>
      <c r="K178" s="539" t="s">
        <v>2299</v>
      </c>
      <c r="L178" s="20"/>
    </row>
    <row r="179" spans="1:19">
      <c r="A179" s="14" t="s">
        <v>31</v>
      </c>
      <c r="D179" s="18">
        <v>20</v>
      </c>
      <c r="E179" s="26" t="str">
        <f t="shared" si="27"/>
        <v>-</v>
      </c>
      <c r="F179" s="311"/>
      <c r="G179" s="307" t="str">
        <f t="shared" si="28"/>
        <v>-</v>
      </c>
      <c r="H179" s="352">
        <f t="shared" si="29"/>
        <v>0</v>
      </c>
      <c r="I179" s="537" t="str">
        <f t="shared" si="30"/>
        <v>-</v>
      </c>
      <c r="J179" s="541">
        <f t="shared" si="31"/>
        <v>0</v>
      </c>
      <c r="K179" s="539" t="s">
        <v>2299</v>
      </c>
      <c r="L179" s="20"/>
    </row>
    <row r="180" spans="1:19">
      <c r="A180" s="14">
        <f>A147+1</f>
        <v>4</v>
      </c>
      <c r="B180" s="14" t="str">
        <f>"MA" &amp; TEXT(A180,"##000")</f>
        <v>MA004</v>
      </c>
      <c r="D180" s="18"/>
      <c r="E180" s="591" t="s">
        <v>2302</v>
      </c>
      <c r="F180" s="592"/>
      <c r="G180" s="592"/>
      <c r="H180" s="592"/>
      <c r="I180" s="327"/>
      <c r="J180" s="353">
        <f>SUM(J160:J179)</f>
        <v>5000</v>
      </c>
      <c r="K180" s="365" t="str">
        <f>+F157</f>
        <v>gl</v>
      </c>
      <c r="L180" s="20"/>
      <c r="O180" s="27" t="s">
        <v>1525</v>
      </c>
      <c r="P180" s="110">
        <v>10</v>
      </c>
    </row>
    <row r="181" spans="1:19">
      <c r="D181" s="18"/>
      <c r="E181" s="593" t="s">
        <v>100</v>
      </c>
      <c r="F181" s="594"/>
      <c r="G181" s="594"/>
      <c r="H181" s="594"/>
      <c r="I181" s="594"/>
      <c r="J181" s="595"/>
      <c r="K181" s="347"/>
      <c r="L181" s="20"/>
      <c r="O181" s="27" t="s">
        <v>1524</v>
      </c>
      <c r="P181" s="110">
        <v>0</v>
      </c>
    </row>
    <row r="182" spans="1:19">
      <c r="A182" s="14" t="s">
        <v>84</v>
      </c>
      <c r="D182" s="18">
        <v>1</v>
      </c>
      <c r="E182" s="26" t="str">
        <f>VLOOKUP($A182,MATMO,2,FALSE)</f>
        <v>Oficial</v>
      </c>
      <c r="F182" s="311">
        <v>0.2</v>
      </c>
      <c r="G182" s="307" t="str">
        <f>VLOOKUP($A182,MATMO,3,FALSE)</f>
        <v>hs</v>
      </c>
      <c r="H182" s="110">
        <f>VLOOKUP($A182,MATMO,4,FALSE)*$Q$7</f>
        <v>55.38</v>
      </c>
      <c r="I182" s="354" t="str">
        <f t="shared" ref="I182:I186" si="32">+G182</f>
        <v>hs</v>
      </c>
      <c r="J182" s="350">
        <f t="shared" ref="J182:J186" si="33">+H182*F182</f>
        <v>11.076000000000001</v>
      </c>
      <c r="K182" s="360" t="s">
        <v>2299</v>
      </c>
      <c r="L182" s="20"/>
      <c r="M182" s="14" t="s">
        <v>2006</v>
      </c>
      <c r="O182" s="27" t="s">
        <v>1526</v>
      </c>
      <c r="P182" s="110">
        <v>0</v>
      </c>
    </row>
    <row r="183" spans="1:19">
      <c r="A183" s="14" t="s">
        <v>85</v>
      </c>
      <c r="D183" s="18">
        <v>2</v>
      </c>
      <c r="E183" s="26" t="str">
        <f>VLOOKUP($A183,MATMO,2,FALSE)</f>
        <v>Ayudante</v>
      </c>
      <c r="F183" s="311">
        <v>0.1</v>
      </c>
      <c r="G183" s="307" t="str">
        <f>VLOOKUP($A183,MATMO,3,FALSE)</f>
        <v>hs</v>
      </c>
      <c r="H183" s="110">
        <f>VLOOKUP($A183,MATMO,4,FALSE)*$Q$7</f>
        <v>46.87</v>
      </c>
      <c r="I183" s="354" t="str">
        <f t="shared" si="32"/>
        <v>hs</v>
      </c>
      <c r="J183" s="350">
        <f t="shared" si="33"/>
        <v>4.6870000000000003</v>
      </c>
      <c r="K183" s="360" t="s">
        <v>2299</v>
      </c>
      <c r="L183" s="20"/>
      <c r="O183" s="27" t="s">
        <v>1527</v>
      </c>
      <c r="P183" s="110">
        <v>0</v>
      </c>
    </row>
    <row r="184" spans="1:19">
      <c r="A184" s="14" t="s">
        <v>2311</v>
      </c>
      <c r="D184" s="18">
        <v>3</v>
      </c>
      <c r="E184" s="26" t="str">
        <f>VLOOKUP($A184,MATMO,2,FALSE)</f>
        <v>Cargas Sociales Oficial</v>
      </c>
      <c r="F184" s="311">
        <f>+F182</f>
        <v>0.2</v>
      </c>
      <c r="G184" s="307" t="str">
        <f>VLOOKUP($A184,MATMO,3,FALSE)</f>
        <v>hs</v>
      </c>
      <c r="H184" s="110">
        <f>VLOOKUP($A184,MATMO,4,FALSE)*$Q$7</f>
        <v>52.742782499999997</v>
      </c>
      <c r="I184" s="354" t="str">
        <f t="shared" si="32"/>
        <v>hs</v>
      </c>
      <c r="J184" s="350">
        <f t="shared" si="33"/>
        <v>10.5485565</v>
      </c>
      <c r="K184" s="360" t="s">
        <v>2299</v>
      </c>
      <c r="L184" s="20"/>
      <c r="O184" s="27"/>
      <c r="P184" s="110">
        <v>0</v>
      </c>
    </row>
    <row r="185" spans="1:19">
      <c r="A185" s="14" t="s">
        <v>2312</v>
      </c>
      <c r="D185" s="18">
        <v>4</v>
      </c>
      <c r="E185" s="26" t="str">
        <f>VLOOKUP($A185,MATMO,2,FALSE)</f>
        <v>Cargas Sociales Ayudante</v>
      </c>
      <c r="F185" s="311">
        <f>+F183</f>
        <v>0.1</v>
      </c>
      <c r="G185" s="307" t="str">
        <f>VLOOKUP($A185,MATMO,3,FALSE)</f>
        <v>hs</v>
      </c>
      <c r="H185" s="110">
        <f>VLOOKUP($A185,MATMO,4,FALSE)*$Q$7</f>
        <v>45.108248750000001</v>
      </c>
      <c r="I185" s="354" t="str">
        <f t="shared" si="32"/>
        <v>hs</v>
      </c>
      <c r="J185" s="350">
        <f t="shared" si="33"/>
        <v>4.510824875</v>
      </c>
      <c r="K185" s="360" t="s">
        <v>2299</v>
      </c>
      <c r="L185" s="20"/>
      <c r="O185" s="27"/>
      <c r="P185" s="110">
        <v>0</v>
      </c>
    </row>
    <row r="186" spans="1:19" ht="16.5" thickBot="1">
      <c r="A186" s="14" t="s">
        <v>83</v>
      </c>
      <c r="D186" s="18">
        <v>5</v>
      </c>
      <c r="E186" s="26" t="str">
        <f>VLOOKUP($A186,MATMO,2,FALSE)</f>
        <v>-</v>
      </c>
      <c r="F186" s="311"/>
      <c r="G186" s="307" t="str">
        <f>VLOOKUP($A186,MATMO,3,FALSE)</f>
        <v>-</v>
      </c>
      <c r="H186" s="110">
        <f>VLOOKUP($A186,MATMO,4,FALSE)*$Q$7</f>
        <v>0</v>
      </c>
      <c r="I186" s="537" t="str">
        <f t="shared" si="32"/>
        <v>-</v>
      </c>
      <c r="J186" s="538">
        <f t="shared" si="33"/>
        <v>0</v>
      </c>
      <c r="K186" s="539" t="s">
        <v>2299</v>
      </c>
      <c r="L186" s="20"/>
      <c r="O186" s="27"/>
      <c r="P186" s="110">
        <v>0</v>
      </c>
      <c r="R186" s="29" t="s">
        <v>2307</v>
      </c>
    </row>
    <row r="187" spans="1:19" ht="16.5" thickBot="1">
      <c r="A187" s="14">
        <f>A147+1</f>
        <v>4</v>
      </c>
      <c r="B187" s="14" t="str">
        <f>"MO" &amp; TEXT(A187,"##000")</f>
        <v>MO004</v>
      </c>
      <c r="D187" s="18"/>
      <c r="E187" s="591" t="s">
        <v>2301</v>
      </c>
      <c r="F187" s="592"/>
      <c r="G187" s="592"/>
      <c r="H187" s="592"/>
      <c r="I187" s="327"/>
      <c r="J187" s="362">
        <f>SUM(J182:J186)</f>
        <v>30.822381375000003</v>
      </c>
      <c r="K187" s="365" t="str">
        <f>+G182</f>
        <v>hs</v>
      </c>
      <c r="L187" s="20"/>
      <c r="N187" s="111">
        <f>+P187+R187</f>
        <v>19</v>
      </c>
      <c r="O187" s="27"/>
      <c r="P187" s="27">
        <f>SUM(P180:P186)</f>
        <v>10</v>
      </c>
      <c r="Q187" s="26">
        <v>0.9</v>
      </c>
      <c r="R187" s="287">
        <f>+Q187*P187</f>
        <v>9</v>
      </c>
      <c r="S187" s="288"/>
    </row>
    <row r="188" spans="1:19">
      <c r="D188" s="18"/>
      <c r="E188" s="593" t="s">
        <v>101</v>
      </c>
      <c r="F188" s="594"/>
      <c r="G188" s="594"/>
      <c r="H188" s="594"/>
      <c r="I188" s="594"/>
      <c r="J188" s="595"/>
      <c r="K188" s="347"/>
      <c r="L188" s="20"/>
      <c r="P188" s="14" t="s">
        <v>2308</v>
      </c>
    </row>
    <row r="189" spans="1:19">
      <c r="A189" s="14" t="s">
        <v>119</v>
      </c>
      <c r="D189" s="18">
        <v>1</v>
      </c>
      <c r="E189" s="26" t="str">
        <f>VLOOKUP($A189,MATMO,2,FALSE)</f>
        <v>Herramientas de Mano</v>
      </c>
      <c r="F189" s="311">
        <v>1</v>
      </c>
      <c r="G189" s="307" t="str">
        <f>VLOOKUP($A189,MATMO,3,FALSE)</f>
        <v>gl</v>
      </c>
      <c r="H189" s="110">
        <f>+(J180+J187)*$Q$5</f>
        <v>201.23289525500002</v>
      </c>
      <c r="I189" s="345" t="str">
        <f>+G189</f>
        <v>gl</v>
      </c>
      <c r="J189" s="350">
        <f t="shared" ref="J189:J193" si="34">+H189*F189</f>
        <v>201.23289525500002</v>
      </c>
      <c r="K189" s="360" t="s">
        <v>2299</v>
      </c>
      <c r="L189" s="20"/>
      <c r="M189" s="14" t="s">
        <v>2004</v>
      </c>
    </row>
    <row r="190" spans="1:19">
      <c r="A190" s="14" t="s">
        <v>118</v>
      </c>
      <c r="D190" s="18">
        <v>2</v>
      </c>
      <c r="E190" s="26" t="str">
        <f>VLOOKUP($A190,MATMO,2,FALSE)</f>
        <v>-</v>
      </c>
      <c r="F190" s="311"/>
      <c r="G190" s="307" t="str">
        <f>VLOOKUP($A190,MATMO,3,FALSE)</f>
        <v>-</v>
      </c>
      <c r="H190" s="110">
        <f>VLOOKUP($A190,MATMO,4,FALSE)*$Q$6</f>
        <v>0</v>
      </c>
      <c r="I190" s="543" t="str">
        <f t="shared" ref="I190:I193" si="35">+G190</f>
        <v>-</v>
      </c>
      <c r="J190" s="538">
        <f t="shared" si="34"/>
        <v>0</v>
      </c>
      <c r="K190" s="539" t="s">
        <v>2299</v>
      </c>
      <c r="L190" s="20"/>
    </row>
    <row r="191" spans="1:19">
      <c r="A191" s="14" t="s">
        <v>118</v>
      </c>
      <c r="D191" s="18">
        <v>3</v>
      </c>
      <c r="E191" s="26" t="str">
        <f>VLOOKUP($A191,MATMO,2,FALSE)</f>
        <v>-</v>
      </c>
      <c r="F191" s="311"/>
      <c r="G191" s="307" t="str">
        <f>VLOOKUP($A191,MATMO,3,FALSE)</f>
        <v>-</v>
      </c>
      <c r="H191" s="110">
        <f>VLOOKUP($A191,MATMO,4,FALSE)*$Q$6</f>
        <v>0</v>
      </c>
      <c r="I191" s="543" t="str">
        <f t="shared" si="35"/>
        <v>-</v>
      </c>
      <c r="J191" s="538">
        <f t="shared" si="34"/>
        <v>0</v>
      </c>
      <c r="K191" s="539" t="s">
        <v>2299</v>
      </c>
      <c r="L191" s="20"/>
    </row>
    <row r="192" spans="1:19">
      <c r="A192" s="14" t="s">
        <v>118</v>
      </c>
      <c r="D192" s="18">
        <v>4</v>
      </c>
      <c r="E192" s="26" t="str">
        <f>VLOOKUP($A192,MATMO,2,FALSE)</f>
        <v>-</v>
      </c>
      <c r="F192" s="311"/>
      <c r="G192" s="307" t="str">
        <f>VLOOKUP($A192,MATMO,3,FALSE)</f>
        <v>-</v>
      </c>
      <c r="H192" s="110">
        <f>VLOOKUP($A192,MATMO,4,FALSE)*$Q$6</f>
        <v>0</v>
      </c>
      <c r="I192" s="543" t="str">
        <f t="shared" si="35"/>
        <v>-</v>
      </c>
      <c r="J192" s="538">
        <f t="shared" si="34"/>
        <v>0</v>
      </c>
      <c r="K192" s="539" t="s">
        <v>2299</v>
      </c>
      <c r="L192" s="20"/>
    </row>
    <row r="193" spans="1:13">
      <c r="A193" s="14" t="s">
        <v>118</v>
      </c>
      <c r="D193" s="18">
        <v>5</v>
      </c>
      <c r="E193" s="26" t="str">
        <f>VLOOKUP($A193,MATMO,2,FALSE)</f>
        <v>-</v>
      </c>
      <c r="F193" s="311"/>
      <c r="G193" s="307" t="str">
        <f>VLOOKUP($A193,MATMO,3,FALSE)</f>
        <v>-</v>
      </c>
      <c r="H193" s="110">
        <f>VLOOKUP($A193,MATMO,4,FALSE)*$Q$6</f>
        <v>0</v>
      </c>
      <c r="I193" s="543" t="str">
        <f t="shared" si="35"/>
        <v>-</v>
      </c>
      <c r="J193" s="538">
        <f t="shared" si="34"/>
        <v>0</v>
      </c>
      <c r="K193" s="539" t="s">
        <v>2299</v>
      </c>
      <c r="L193" s="20"/>
    </row>
    <row r="194" spans="1:13">
      <c r="A194" s="14">
        <f>A147+1</f>
        <v>4</v>
      </c>
      <c r="B194" s="14" t="str">
        <f>"E" &amp; TEXT(A194,"##000")</f>
        <v>E004</v>
      </c>
      <c r="D194" s="18"/>
      <c r="E194" s="591" t="s">
        <v>2300</v>
      </c>
      <c r="F194" s="592"/>
      <c r="G194" s="592"/>
      <c r="H194" s="592"/>
      <c r="I194" s="327"/>
      <c r="J194" s="362">
        <f>SUM(J189:J193)</f>
        <v>201.23289525500002</v>
      </c>
      <c r="K194" s="365" t="s">
        <v>116</v>
      </c>
      <c r="L194" s="20"/>
    </row>
    <row r="195" spans="1:13">
      <c r="D195" s="18"/>
      <c r="E195" s="596"/>
      <c r="F195" s="597"/>
      <c r="G195" s="597"/>
      <c r="H195" s="597"/>
      <c r="I195" s="597"/>
      <c r="J195" s="598"/>
      <c r="K195" s="348"/>
      <c r="L195" s="20"/>
    </row>
    <row r="196" spans="1:13">
      <c r="D196" s="18"/>
      <c r="E196" s="591" t="s">
        <v>2306</v>
      </c>
      <c r="F196" s="592"/>
      <c r="G196" s="592"/>
      <c r="H196" s="592"/>
      <c r="I196" s="327"/>
      <c r="J196" s="308">
        <f>+J194+J187+J180</f>
        <v>5232.0552766299998</v>
      </c>
      <c r="K196" s="365" t="str">
        <f>+F157</f>
        <v>gl</v>
      </c>
      <c r="L196" s="20"/>
    </row>
    <row r="197" spans="1:13">
      <c r="D197" s="18"/>
      <c r="E197" s="591" t="s">
        <v>2305</v>
      </c>
      <c r="F197" s="592"/>
      <c r="G197" s="592"/>
      <c r="H197" s="592"/>
      <c r="I197" s="406">
        <f>+$Q$9</f>
        <v>1.6902999999999999</v>
      </c>
      <c r="J197" s="308">
        <f>+$Q$9*J196</f>
        <v>8843.743034087689</v>
      </c>
      <c r="K197" s="365" t="str">
        <f>+F157</f>
        <v>gl</v>
      </c>
      <c r="L197" s="20"/>
    </row>
    <row r="198" spans="1:13">
      <c r="A198" s="14">
        <f>A151+1</f>
        <v>4</v>
      </c>
      <c r="B198" s="14" t="str">
        <f>"TR" &amp; TEXT(A198,"##000")</f>
        <v>TR004</v>
      </c>
      <c r="C198" s="14">
        <f>+C151+1</f>
        <v>4</v>
      </c>
      <c r="D198" s="18"/>
      <c r="E198" s="591" t="s">
        <v>2304</v>
      </c>
      <c r="F198" s="592"/>
      <c r="G198" s="592"/>
      <c r="H198" s="592"/>
      <c r="I198" s="327"/>
      <c r="J198" s="308">
        <f>+J197</f>
        <v>8843.743034087689</v>
      </c>
      <c r="K198" s="365" t="str">
        <f>+F157</f>
        <v>gl</v>
      </c>
      <c r="L198" s="20"/>
    </row>
    <row r="199" spans="1:13" ht="16.5" thickBot="1">
      <c r="D199" s="21"/>
      <c r="E199" s="30"/>
      <c r="F199" s="30"/>
      <c r="G199" s="30"/>
      <c r="H199" s="30"/>
      <c r="I199" s="30"/>
      <c r="J199" s="30"/>
      <c r="K199" s="349"/>
      <c r="L199" s="22"/>
    </row>
    <row r="200" spans="1:13" ht="16.5" thickTop="1">
      <c r="D200" s="15"/>
      <c r="E200" s="16"/>
      <c r="F200" s="16"/>
      <c r="G200" s="16"/>
      <c r="H200" s="16"/>
      <c r="I200" s="16"/>
      <c r="J200" s="16"/>
      <c r="K200" s="16"/>
      <c r="L200" s="17"/>
    </row>
    <row r="201" spans="1:13">
      <c r="A201" s="14" t="s">
        <v>1814</v>
      </c>
      <c r="D201" s="18"/>
      <c r="E201" s="23" t="s">
        <v>95</v>
      </c>
      <c r="F201" s="24" t="str">
        <f>VLOOKUP($A201,DATRUB,3,FALSE)</f>
        <v>RUBRO I:</v>
      </c>
      <c r="G201" s="599" t="str">
        <f>VLOOKUP($A201,DATRUB,4,FALSE)</f>
        <v>PRELIMINARES</v>
      </c>
      <c r="H201" s="599"/>
      <c r="I201" s="599"/>
      <c r="J201" s="599"/>
      <c r="K201" s="599"/>
      <c r="L201" s="20"/>
    </row>
    <row r="202" spans="1:13" ht="35.1" customHeight="1">
      <c r="A202" s="14" t="s">
        <v>1819</v>
      </c>
      <c r="D202" s="18"/>
      <c r="E202" s="23" t="s">
        <v>96</v>
      </c>
      <c r="F202" s="399">
        <f>VLOOKUP($A202,DATRUB,3,FALSE)</f>
        <v>1.5</v>
      </c>
      <c r="G202" s="599" t="str">
        <f>VLOOKUP($A202,DATRUB,4,FALSE)</f>
        <v>Traslado de Inspeccion</v>
      </c>
      <c r="H202" s="599"/>
      <c r="I202" s="599"/>
      <c r="J202" s="599"/>
      <c r="K202" s="599"/>
      <c r="L202" s="20"/>
    </row>
    <row r="203" spans="1:13" ht="35.1" customHeight="1">
      <c r="A203" s="14" t="s">
        <v>1819</v>
      </c>
      <c r="D203" s="18"/>
      <c r="E203" s="23" t="s">
        <v>97</v>
      </c>
      <c r="F203" s="399">
        <f>VLOOKUP($A203,DATRUB,3,FALSE)</f>
        <v>1.5</v>
      </c>
      <c r="G203" s="599" t="str">
        <f>VLOOKUP($A203,DATRUB,4,FALSE)</f>
        <v>Traslado de Inspeccion</v>
      </c>
      <c r="H203" s="599"/>
      <c r="I203" s="599"/>
      <c r="J203" s="599"/>
      <c r="K203" s="599"/>
      <c r="L203" s="20"/>
    </row>
    <row r="204" spans="1:13">
      <c r="D204" s="18"/>
      <c r="E204" s="23" t="s">
        <v>98</v>
      </c>
      <c r="F204" s="24" t="str">
        <f>VLOOKUP($A203,DATRUB,5,FALSE)</f>
        <v>gl</v>
      </c>
      <c r="G204" s="600"/>
      <c r="H204" s="600"/>
      <c r="I204" s="600"/>
      <c r="J204" s="600"/>
      <c r="K204" s="600"/>
      <c r="L204" s="20"/>
    </row>
    <row r="205" spans="1:13">
      <c r="D205" s="18"/>
      <c r="E205" s="24" t="s">
        <v>1158</v>
      </c>
      <c r="F205" s="25" t="s">
        <v>1250</v>
      </c>
      <c r="G205" s="24" t="s">
        <v>24</v>
      </c>
      <c r="H205" s="24" t="s">
        <v>25</v>
      </c>
      <c r="I205" s="24" t="s">
        <v>24</v>
      </c>
      <c r="J205" s="24" t="s">
        <v>2298</v>
      </c>
      <c r="K205" s="24" t="s">
        <v>24</v>
      </c>
      <c r="L205" s="20"/>
    </row>
    <row r="206" spans="1:13">
      <c r="D206" s="18"/>
      <c r="E206" s="593" t="s">
        <v>99</v>
      </c>
      <c r="F206" s="594"/>
      <c r="G206" s="594"/>
      <c r="H206" s="594"/>
      <c r="I206" s="594"/>
      <c r="J206" s="594"/>
      <c r="K206" s="595"/>
      <c r="L206" s="20"/>
    </row>
    <row r="207" spans="1:13">
      <c r="A207" s="14" t="s">
        <v>2459</v>
      </c>
      <c r="D207" s="18">
        <v>1</v>
      </c>
      <c r="E207" s="355" t="str">
        <f t="shared" ref="E207:E226" si="36">VLOOKUP($A207,MATMO,2,FALSE)</f>
        <v>Camioneta de Traslado</v>
      </c>
      <c r="F207" s="356">
        <v>36</v>
      </c>
      <c r="G207" s="357" t="str">
        <f t="shared" ref="G207:G226" si="37">VLOOKUP($A207,MATMO,3,FALSE)</f>
        <v>gl</v>
      </c>
      <c r="H207" s="358">
        <f t="shared" ref="H207:H226" si="38">VLOOKUP($A207,MATMO,4,FALSE)*$Q$6</f>
        <v>1200</v>
      </c>
      <c r="I207" s="359" t="str">
        <f t="shared" ref="I207:I226" si="39">+G207</f>
        <v>gl</v>
      </c>
      <c r="J207" s="361">
        <f>+H207*F207</f>
        <v>43200</v>
      </c>
      <c r="K207" s="360" t="s">
        <v>2299</v>
      </c>
      <c r="L207" s="20"/>
      <c r="M207" s="14" t="s">
        <v>2005</v>
      </c>
    </row>
    <row r="208" spans="1:13">
      <c r="A208" s="14" t="s">
        <v>2447</v>
      </c>
      <c r="D208" s="18">
        <v>2</v>
      </c>
      <c r="E208" s="26" t="str">
        <f t="shared" si="36"/>
        <v>Accesorios</v>
      </c>
      <c r="F208" s="311">
        <v>72</v>
      </c>
      <c r="G208" s="307" t="str">
        <f t="shared" si="37"/>
        <v>gl</v>
      </c>
      <c r="H208" s="351">
        <f t="shared" si="38"/>
        <v>50</v>
      </c>
      <c r="I208" s="354" t="str">
        <f t="shared" si="39"/>
        <v>gl</v>
      </c>
      <c r="J208" s="350">
        <f t="shared" ref="J208:J226" si="40">+H208*F208</f>
        <v>3600</v>
      </c>
      <c r="K208" s="360" t="s">
        <v>2299</v>
      </c>
      <c r="L208" s="20"/>
    </row>
    <row r="209" spans="1:12">
      <c r="A209" s="14" t="s">
        <v>31</v>
      </c>
      <c r="D209" s="18">
        <v>3</v>
      </c>
      <c r="E209" s="26" t="str">
        <f t="shared" si="36"/>
        <v>-</v>
      </c>
      <c r="F209" s="311"/>
      <c r="G209" s="307" t="str">
        <f t="shared" si="37"/>
        <v>-</v>
      </c>
      <c r="H209" s="351">
        <f t="shared" si="38"/>
        <v>0</v>
      </c>
      <c r="I209" s="537" t="str">
        <f t="shared" si="39"/>
        <v>-</v>
      </c>
      <c r="J209" s="538">
        <f t="shared" si="40"/>
        <v>0</v>
      </c>
      <c r="K209" s="539" t="s">
        <v>2299</v>
      </c>
      <c r="L209" s="20"/>
    </row>
    <row r="210" spans="1:12">
      <c r="A210" s="14" t="s">
        <v>31</v>
      </c>
      <c r="D210" s="18">
        <v>4</v>
      </c>
      <c r="E210" s="26" t="str">
        <f t="shared" si="36"/>
        <v>-</v>
      </c>
      <c r="F210" s="311"/>
      <c r="G210" s="307" t="str">
        <f t="shared" si="37"/>
        <v>-</v>
      </c>
      <c r="H210" s="351">
        <f t="shared" si="38"/>
        <v>0</v>
      </c>
      <c r="I210" s="537" t="str">
        <f t="shared" si="39"/>
        <v>-</v>
      </c>
      <c r="J210" s="538">
        <f t="shared" si="40"/>
        <v>0</v>
      </c>
      <c r="K210" s="539" t="s">
        <v>2299</v>
      </c>
      <c r="L210" s="20"/>
    </row>
    <row r="211" spans="1:12">
      <c r="A211" s="14" t="s">
        <v>31</v>
      </c>
      <c r="D211" s="18">
        <v>5</v>
      </c>
      <c r="E211" s="26" t="str">
        <f t="shared" si="36"/>
        <v>-</v>
      </c>
      <c r="F211" s="311"/>
      <c r="G211" s="307" t="str">
        <f t="shared" si="37"/>
        <v>-</v>
      </c>
      <c r="H211" s="351">
        <f t="shared" si="38"/>
        <v>0</v>
      </c>
      <c r="I211" s="537" t="str">
        <f t="shared" si="39"/>
        <v>-</v>
      </c>
      <c r="J211" s="538">
        <f t="shared" si="40"/>
        <v>0</v>
      </c>
      <c r="K211" s="539" t="s">
        <v>2299</v>
      </c>
      <c r="L211" s="20"/>
    </row>
    <row r="212" spans="1:12">
      <c r="A212" s="14" t="s">
        <v>31</v>
      </c>
      <c r="D212" s="18">
        <v>6</v>
      </c>
      <c r="E212" s="26" t="str">
        <f t="shared" si="36"/>
        <v>-</v>
      </c>
      <c r="F212" s="311"/>
      <c r="G212" s="307" t="str">
        <f t="shared" si="37"/>
        <v>-</v>
      </c>
      <c r="H212" s="351">
        <f t="shared" si="38"/>
        <v>0</v>
      </c>
      <c r="I212" s="537" t="str">
        <f t="shared" si="39"/>
        <v>-</v>
      </c>
      <c r="J212" s="538">
        <f t="shared" si="40"/>
        <v>0</v>
      </c>
      <c r="K212" s="539" t="s">
        <v>2299</v>
      </c>
      <c r="L212" s="20"/>
    </row>
    <row r="213" spans="1:12">
      <c r="A213" s="14" t="s">
        <v>31</v>
      </c>
      <c r="D213" s="18">
        <v>7</v>
      </c>
      <c r="E213" s="26" t="str">
        <f t="shared" si="36"/>
        <v>-</v>
      </c>
      <c r="F213" s="311"/>
      <c r="G213" s="307" t="str">
        <f t="shared" si="37"/>
        <v>-</v>
      </c>
      <c r="H213" s="351">
        <f t="shared" si="38"/>
        <v>0</v>
      </c>
      <c r="I213" s="537" t="str">
        <f t="shared" si="39"/>
        <v>-</v>
      </c>
      <c r="J213" s="538">
        <f t="shared" si="40"/>
        <v>0</v>
      </c>
      <c r="K213" s="539" t="s">
        <v>2299</v>
      </c>
      <c r="L213" s="20"/>
    </row>
    <row r="214" spans="1:12">
      <c r="A214" s="14" t="s">
        <v>31</v>
      </c>
      <c r="D214" s="18">
        <v>8</v>
      </c>
      <c r="E214" s="26" t="str">
        <f t="shared" si="36"/>
        <v>-</v>
      </c>
      <c r="F214" s="311"/>
      <c r="G214" s="307" t="str">
        <f t="shared" si="37"/>
        <v>-</v>
      </c>
      <c r="H214" s="351">
        <f t="shared" si="38"/>
        <v>0</v>
      </c>
      <c r="I214" s="537" t="str">
        <f t="shared" si="39"/>
        <v>-</v>
      </c>
      <c r="J214" s="538">
        <f t="shared" si="40"/>
        <v>0</v>
      </c>
      <c r="K214" s="539" t="s">
        <v>2299</v>
      </c>
      <c r="L214" s="20"/>
    </row>
    <row r="215" spans="1:12">
      <c r="A215" s="14" t="s">
        <v>31</v>
      </c>
      <c r="D215" s="18">
        <v>9</v>
      </c>
      <c r="E215" s="26" t="str">
        <f t="shared" si="36"/>
        <v>-</v>
      </c>
      <c r="F215" s="311"/>
      <c r="G215" s="307" t="str">
        <f t="shared" si="37"/>
        <v>-</v>
      </c>
      <c r="H215" s="351">
        <f t="shared" si="38"/>
        <v>0</v>
      </c>
      <c r="I215" s="537" t="str">
        <f t="shared" si="39"/>
        <v>-</v>
      </c>
      <c r="J215" s="538">
        <f t="shared" si="40"/>
        <v>0</v>
      </c>
      <c r="K215" s="539" t="s">
        <v>2299</v>
      </c>
      <c r="L215" s="20"/>
    </row>
    <row r="216" spans="1:12">
      <c r="A216" s="14" t="s">
        <v>31</v>
      </c>
      <c r="D216" s="18">
        <v>10</v>
      </c>
      <c r="E216" s="26" t="str">
        <f t="shared" si="36"/>
        <v>-</v>
      </c>
      <c r="F216" s="311"/>
      <c r="G216" s="307" t="str">
        <f t="shared" si="37"/>
        <v>-</v>
      </c>
      <c r="H216" s="351">
        <f t="shared" si="38"/>
        <v>0</v>
      </c>
      <c r="I216" s="537" t="str">
        <f t="shared" si="39"/>
        <v>-</v>
      </c>
      <c r="J216" s="538">
        <f t="shared" si="40"/>
        <v>0</v>
      </c>
      <c r="K216" s="539" t="s">
        <v>2299</v>
      </c>
      <c r="L216" s="20"/>
    </row>
    <row r="217" spans="1:12">
      <c r="A217" s="14" t="s">
        <v>31</v>
      </c>
      <c r="D217" s="18">
        <v>11</v>
      </c>
      <c r="E217" s="26" t="str">
        <f t="shared" si="36"/>
        <v>-</v>
      </c>
      <c r="F217" s="311"/>
      <c r="G217" s="307" t="str">
        <f t="shared" si="37"/>
        <v>-</v>
      </c>
      <c r="H217" s="351">
        <f t="shared" si="38"/>
        <v>0</v>
      </c>
      <c r="I217" s="537" t="str">
        <f t="shared" si="39"/>
        <v>-</v>
      </c>
      <c r="J217" s="538">
        <f t="shared" si="40"/>
        <v>0</v>
      </c>
      <c r="K217" s="539" t="s">
        <v>2299</v>
      </c>
      <c r="L217" s="20"/>
    </row>
    <row r="218" spans="1:12">
      <c r="A218" s="14" t="s">
        <v>31</v>
      </c>
      <c r="D218" s="18">
        <v>12</v>
      </c>
      <c r="E218" s="26" t="str">
        <f t="shared" si="36"/>
        <v>-</v>
      </c>
      <c r="F218" s="311"/>
      <c r="G218" s="307" t="str">
        <f t="shared" si="37"/>
        <v>-</v>
      </c>
      <c r="H218" s="352">
        <f t="shared" si="38"/>
        <v>0</v>
      </c>
      <c r="I218" s="537" t="str">
        <f t="shared" si="39"/>
        <v>-</v>
      </c>
      <c r="J218" s="538">
        <f t="shared" si="40"/>
        <v>0</v>
      </c>
      <c r="K218" s="539" t="s">
        <v>2299</v>
      </c>
      <c r="L218" s="20"/>
    </row>
    <row r="219" spans="1:12">
      <c r="A219" s="14" t="s">
        <v>31</v>
      </c>
      <c r="D219" s="18">
        <v>13</v>
      </c>
      <c r="E219" s="26" t="str">
        <f t="shared" si="36"/>
        <v>-</v>
      </c>
      <c r="F219" s="311"/>
      <c r="G219" s="307" t="str">
        <f t="shared" si="37"/>
        <v>-</v>
      </c>
      <c r="H219" s="352">
        <f t="shared" si="38"/>
        <v>0</v>
      </c>
      <c r="I219" s="537" t="str">
        <f t="shared" si="39"/>
        <v>-</v>
      </c>
      <c r="J219" s="538">
        <f t="shared" si="40"/>
        <v>0</v>
      </c>
      <c r="K219" s="539" t="s">
        <v>2299</v>
      </c>
      <c r="L219" s="20"/>
    </row>
    <row r="220" spans="1:12">
      <c r="A220" s="14" t="s">
        <v>31</v>
      </c>
      <c r="D220" s="18">
        <v>14</v>
      </c>
      <c r="E220" s="26" t="str">
        <f t="shared" si="36"/>
        <v>-</v>
      </c>
      <c r="F220" s="311"/>
      <c r="G220" s="307" t="str">
        <f t="shared" si="37"/>
        <v>-</v>
      </c>
      <c r="H220" s="352">
        <f t="shared" si="38"/>
        <v>0</v>
      </c>
      <c r="I220" s="537" t="str">
        <f t="shared" si="39"/>
        <v>-</v>
      </c>
      <c r="J220" s="538">
        <f t="shared" si="40"/>
        <v>0</v>
      </c>
      <c r="K220" s="539" t="s">
        <v>2299</v>
      </c>
      <c r="L220" s="20"/>
    </row>
    <row r="221" spans="1:12">
      <c r="A221" s="14" t="s">
        <v>31</v>
      </c>
      <c r="D221" s="18">
        <v>15</v>
      </c>
      <c r="E221" s="26" t="str">
        <f t="shared" si="36"/>
        <v>-</v>
      </c>
      <c r="F221" s="311"/>
      <c r="G221" s="307" t="str">
        <f t="shared" si="37"/>
        <v>-</v>
      </c>
      <c r="H221" s="352">
        <f t="shared" si="38"/>
        <v>0</v>
      </c>
      <c r="I221" s="537" t="str">
        <f t="shared" si="39"/>
        <v>-</v>
      </c>
      <c r="J221" s="538">
        <f t="shared" si="40"/>
        <v>0</v>
      </c>
      <c r="K221" s="539" t="s">
        <v>2299</v>
      </c>
      <c r="L221" s="20"/>
    </row>
    <row r="222" spans="1:12">
      <c r="A222" s="14" t="s">
        <v>31</v>
      </c>
      <c r="D222" s="18">
        <v>16</v>
      </c>
      <c r="E222" s="26" t="str">
        <f t="shared" si="36"/>
        <v>-</v>
      </c>
      <c r="F222" s="311"/>
      <c r="G222" s="307" t="str">
        <f t="shared" si="37"/>
        <v>-</v>
      </c>
      <c r="H222" s="352">
        <f t="shared" si="38"/>
        <v>0</v>
      </c>
      <c r="I222" s="537" t="str">
        <f t="shared" si="39"/>
        <v>-</v>
      </c>
      <c r="J222" s="538">
        <f t="shared" si="40"/>
        <v>0</v>
      </c>
      <c r="K222" s="539" t="s">
        <v>2299</v>
      </c>
      <c r="L222" s="20"/>
    </row>
    <row r="223" spans="1:12">
      <c r="A223" s="14" t="s">
        <v>31</v>
      </c>
      <c r="D223" s="18">
        <v>17</v>
      </c>
      <c r="E223" s="26" t="str">
        <f t="shared" si="36"/>
        <v>-</v>
      </c>
      <c r="F223" s="311"/>
      <c r="G223" s="307" t="str">
        <f t="shared" si="37"/>
        <v>-</v>
      </c>
      <c r="H223" s="352">
        <f t="shared" si="38"/>
        <v>0</v>
      </c>
      <c r="I223" s="537" t="str">
        <f t="shared" si="39"/>
        <v>-</v>
      </c>
      <c r="J223" s="538">
        <f t="shared" si="40"/>
        <v>0</v>
      </c>
      <c r="K223" s="539" t="s">
        <v>2299</v>
      </c>
      <c r="L223" s="20"/>
    </row>
    <row r="224" spans="1:12">
      <c r="A224" s="14" t="s">
        <v>31</v>
      </c>
      <c r="D224" s="18">
        <v>18</v>
      </c>
      <c r="E224" s="26" t="str">
        <f t="shared" si="36"/>
        <v>-</v>
      </c>
      <c r="F224" s="311"/>
      <c r="G224" s="307" t="str">
        <f t="shared" si="37"/>
        <v>-</v>
      </c>
      <c r="H224" s="352">
        <f t="shared" si="38"/>
        <v>0</v>
      </c>
      <c r="I224" s="537" t="str">
        <f t="shared" si="39"/>
        <v>-</v>
      </c>
      <c r="J224" s="538">
        <f t="shared" si="40"/>
        <v>0</v>
      </c>
      <c r="K224" s="539" t="s">
        <v>2299</v>
      </c>
      <c r="L224" s="20"/>
    </row>
    <row r="225" spans="1:19">
      <c r="A225" s="14" t="s">
        <v>31</v>
      </c>
      <c r="D225" s="18">
        <v>19</v>
      </c>
      <c r="E225" s="26" t="str">
        <f t="shared" si="36"/>
        <v>-</v>
      </c>
      <c r="F225" s="311"/>
      <c r="G225" s="307" t="str">
        <f t="shared" si="37"/>
        <v>-</v>
      </c>
      <c r="H225" s="352">
        <f t="shared" si="38"/>
        <v>0</v>
      </c>
      <c r="I225" s="537" t="str">
        <f t="shared" si="39"/>
        <v>-</v>
      </c>
      <c r="J225" s="538">
        <f t="shared" si="40"/>
        <v>0</v>
      </c>
      <c r="K225" s="539" t="s">
        <v>2299</v>
      </c>
      <c r="L225" s="20"/>
    </row>
    <row r="226" spans="1:19">
      <c r="A226" s="14" t="s">
        <v>31</v>
      </c>
      <c r="D226" s="18">
        <v>20</v>
      </c>
      <c r="E226" s="26" t="str">
        <f t="shared" si="36"/>
        <v>-</v>
      </c>
      <c r="F226" s="311"/>
      <c r="G226" s="307" t="str">
        <f t="shared" si="37"/>
        <v>-</v>
      </c>
      <c r="H226" s="352">
        <f t="shared" si="38"/>
        <v>0</v>
      </c>
      <c r="I226" s="537" t="str">
        <f t="shared" si="39"/>
        <v>-</v>
      </c>
      <c r="J226" s="541">
        <f t="shared" si="40"/>
        <v>0</v>
      </c>
      <c r="K226" s="539" t="s">
        <v>2299</v>
      </c>
      <c r="L226" s="20"/>
    </row>
    <row r="227" spans="1:19">
      <c r="A227" s="14">
        <f>A194+1</f>
        <v>5</v>
      </c>
      <c r="B227" s="14" t="str">
        <f>"MA" &amp; TEXT(A227,"##000")</f>
        <v>MA005</v>
      </c>
      <c r="D227" s="18"/>
      <c r="E227" s="591" t="s">
        <v>2302</v>
      </c>
      <c r="F227" s="592"/>
      <c r="G227" s="592"/>
      <c r="H227" s="592"/>
      <c r="I227" s="327"/>
      <c r="J227" s="353">
        <f>SUM(J207:J226)</f>
        <v>46800</v>
      </c>
      <c r="K227" s="365" t="str">
        <f>+F204</f>
        <v>gl</v>
      </c>
      <c r="L227" s="20"/>
      <c r="O227" s="27" t="s">
        <v>1525</v>
      </c>
      <c r="P227" s="110">
        <v>0</v>
      </c>
    </row>
    <row r="228" spans="1:19">
      <c r="D228" s="18"/>
      <c r="E228" s="593" t="s">
        <v>100</v>
      </c>
      <c r="F228" s="594"/>
      <c r="G228" s="594"/>
      <c r="H228" s="594"/>
      <c r="I228" s="594"/>
      <c r="J228" s="595"/>
      <c r="K228" s="347"/>
      <c r="L228" s="20"/>
      <c r="O228" s="27" t="s">
        <v>1524</v>
      </c>
      <c r="P228" s="110">
        <v>0</v>
      </c>
    </row>
    <row r="229" spans="1:19">
      <c r="A229" s="14" t="s">
        <v>84</v>
      </c>
      <c r="D229" s="18">
        <v>1</v>
      </c>
      <c r="E229" s="26" t="str">
        <f>VLOOKUP($A229,MATMO,2,FALSE)</f>
        <v>Oficial</v>
      </c>
      <c r="F229" s="311">
        <v>0.2</v>
      </c>
      <c r="G229" s="307" t="str">
        <f>VLOOKUP($A229,MATMO,3,FALSE)</f>
        <v>hs</v>
      </c>
      <c r="H229" s="110">
        <f>VLOOKUP($A229,MATMO,4,FALSE)*$Q$7</f>
        <v>55.38</v>
      </c>
      <c r="I229" s="354" t="str">
        <f t="shared" ref="I229:I233" si="41">+G229</f>
        <v>hs</v>
      </c>
      <c r="J229" s="350">
        <f t="shared" ref="J229:J233" si="42">+H229*F229</f>
        <v>11.076000000000001</v>
      </c>
      <c r="K229" s="360" t="s">
        <v>2299</v>
      </c>
      <c r="L229" s="20"/>
      <c r="M229" s="14" t="s">
        <v>2006</v>
      </c>
      <c r="O229" s="27" t="s">
        <v>1526</v>
      </c>
      <c r="P229" s="110">
        <v>0</v>
      </c>
    </row>
    <row r="230" spans="1:19">
      <c r="A230" s="14" t="s">
        <v>85</v>
      </c>
      <c r="D230" s="18">
        <v>2</v>
      </c>
      <c r="E230" s="26" t="str">
        <f>VLOOKUP($A230,MATMO,2,FALSE)</f>
        <v>Ayudante</v>
      </c>
      <c r="F230" s="311">
        <v>0.1</v>
      </c>
      <c r="G230" s="307" t="str">
        <f>VLOOKUP($A230,MATMO,3,FALSE)</f>
        <v>hs</v>
      </c>
      <c r="H230" s="110">
        <f>VLOOKUP($A230,MATMO,4,FALSE)*$Q$7</f>
        <v>46.87</v>
      </c>
      <c r="I230" s="354" t="str">
        <f t="shared" si="41"/>
        <v>hs</v>
      </c>
      <c r="J230" s="350">
        <f t="shared" si="42"/>
        <v>4.6870000000000003</v>
      </c>
      <c r="K230" s="360" t="s">
        <v>2299</v>
      </c>
      <c r="L230" s="20"/>
      <c r="O230" s="27" t="s">
        <v>1527</v>
      </c>
      <c r="P230" s="110">
        <v>0</v>
      </c>
    </row>
    <row r="231" spans="1:19">
      <c r="A231" s="14" t="s">
        <v>2311</v>
      </c>
      <c r="D231" s="18">
        <v>3</v>
      </c>
      <c r="E231" s="26" t="str">
        <f>VLOOKUP($A231,MATMO,2,FALSE)</f>
        <v>Cargas Sociales Oficial</v>
      </c>
      <c r="F231" s="311">
        <f>+F229</f>
        <v>0.2</v>
      </c>
      <c r="G231" s="307" t="str">
        <f>VLOOKUP($A231,MATMO,3,FALSE)</f>
        <v>hs</v>
      </c>
      <c r="H231" s="110">
        <f>VLOOKUP($A231,MATMO,4,FALSE)*$Q$7</f>
        <v>52.742782499999997</v>
      </c>
      <c r="I231" s="354" t="str">
        <f t="shared" si="41"/>
        <v>hs</v>
      </c>
      <c r="J231" s="350">
        <f t="shared" si="42"/>
        <v>10.5485565</v>
      </c>
      <c r="K231" s="360" t="s">
        <v>2299</v>
      </c>
      <c r="L231" s="20"/>
      <c r="O231" s="27"/>
      <c r="P231" s="110">
        <v>0</v>
      </c>
    </row>
    <row r="232" spans="1:19">
      <c r="A232" s="14" t="s">
        <v>2312</v>
      </c>
      <c r="D232" s="18">
        <v>4</v>
      </c>
      <c r="E232" s="26" t="str">
        <f>VLOOKUP($A232,MATMO,2,FALSE)</f>
        <v>Cargas Sociales Ayudante</v>
      </c>
      <c r="F232" s="311">
        <f>+F230</f>
        <v>0.1</v>
      </c>
      <c r="G232" s="307" t="str">
        <f>VLOOKUP($A232,MATMO,3,FALSE)</f>
        <v>hs</v>
      </c>
      <c r="H232" s="110">
        <f>VLOOKUP($A232,MATMO,4,FALSE)*$Q$7</f>
        <v>45.108248750000001</v>
      </c>
      <c r="I232" s="354" t="str">
        <f t="shared" si="41"/>
        <v>hs</v>
      </c>
      <c r="J232" s="350">
        <f t="shared" si="42"/>
        <v>4.510824875</v>
      </c>
      <c r="K232" s="360" t="s">
        <v>2299</v>
      </c>
      <c r="L232" s="20"/>
      <c r="O232" s="27"/>
      <c r="P232" s="110">
        <v>0</v>
      </c>
    </row>
    <row r="233" spans="1:19" ht="16.5" thickBot="1">
      <c r="A233" s="14" t="s">
        <v>83</v>
      </c>
      <c r="D233" s="18">
        <v>5</v>
      </c>
      <c r="E233" s="26" t="str">
        <f>VLOOKUP($A233,MATMO,2,FALSE)</f>
        <v>-</v>
      </c>
      <c r="F233" s="311"/>
      <c r="G233" s="307" t="str">
        <f>VLOOKUP($A233,MATMO,3,FALSE)</f>
        <v>-</v>
      </c>
      <c r="H233" s="110">
        <f>VLOOKUP($A233,MATMO,4,FALSE)*$Q$7</f>
        <v>0</v>
      </c>
      <c r="I233" s="537" t="str">
        <f t="shared" si="41"/>
        <v>-</v>
      </c>
      <c r="J233" s="538">
        <f t="shared" si="42"/>
        <v>0</v>
      </c>
      <c r="K233" s="539" t="s">
        <v>2299</v>
      </c>
      <c r="L233" s="20"/>
      <c r="O233" s="27"/>
      <c r="P233" s="110">
        <v>0</v>
      </c>
      <c r="R233" s="29" t="s">
        <v>2307</v>
      </c>
    </row>
    <row r="234" spans="1:19" ht="16.5" thickBot="1">
      <c r="A234" s="14">
        <f>A194+1</f>
        <v>5</v>
      </c>
      <c r="B234" s="14" t="str">
        <f>"MO" &amp; TEXT(A234,"##000")</f>
        <v>MO005</v>
      </c>
      <c r="D234" s="18"/>
      <c r="E234" s="591" t="s">
        <v>2301</v>
      </c>
      <c r="F234" s="592"/>
      <c r="G234" s="592"/>
      <c r="H234" s="592"/>
      <c r="I234" s="327"/>
      <c r="J234" s="362">
        <f>SUM(J229:J233)</f>
        <v>30.822381375000003</v>
      </c>
      <c r="K234" s="365" t="str">
        <f>+G229</f>
        <v>hs</v>
      </c>
      <c r="L234" s="20"/>
      <c r="N234" s="111">
        <f>+P234+R234</f>
        <v>0</v>
      </c>
      <c r="O234" s="27"/>
      <c r="P234" s="27">
        <f>SUM(P227:P233)</f>
        <v>0</v>
      </c>
      <c r="Q234" s="26">
        <v>0.9</v>
      </c>
      <c r="R234" s="287">
        <f>+Q234*P234</f>
        <v>0</v>
      </c>
      <c r="S234" s="288"/>
    </row>
    <row r="235" spans="1:19">
      <c r="D235" s="18"/>
      <c r="E235" s="593" t="s">
        <v>101</v>
      </c>
      <c r="F235" s="594"/>
      <c r="G235" s="594"/>
      <c r="H235" s="594"/>
      <c r="I235" s="594"/>
      <c r="J235" s="595"/>
      <c r="K235" s="347"/>
      <c r="L235" s="20"/>
      <c r="P235" s="14" t="s">
        <v>2308</v>
      </c>
    </row>
    <row r="236" spans="1:19">
      <c r="A236" s="14" t="s">
        <v>119</v>
      </c>
      <c r="D236" s="18">
        <v>1</v>
      </c>
      <c r="E236" s="26" t="str">
        <f>VLOOKUP($A236,MATMO,2,FALSE)</f>
        <v>Herramientas de Mano</v>
      </c>
      <c r="F236" s="311">
        <v>1</v>
      </c>
      <c r="G236" s="307" t="str">
        <f>VLOOKUP($A236,MATMO,3,FALSE)</f>
        <v>gl</v>
      </c>
      <c r="H236" s="110">
        <f>+(J227+J234)*$Q$5</f>
        <v>1873.2328952550001</v>
      </c>
      <c r="I236" s="345" t="str">
        <f>+G236</f>
        <v>gl</v>
      </c>
      <c r="J236" s="350">
        <f t="shared" ref="J236:J240" si="43">+H236*F236</f>
        <v>1873.2328952550001</v>
      </c>
      <c r="K236" s="360" t="s">
        <v>2299</v>
      </c>
      <c r="L236" s="20"/>
      <c r="M236" s="14" t="s">
        <v>2004</v>
      </c>
    </row>
    <row r="237" spans="1:19">
      <c r="A237" s="14" t="s">
        <v>118</v>
      </c>
      <c r="D237" s="18">
        <v>2</v>
      </c>
      <c r="E237" s="26" t="str">
        <f>VLOOKUP($A237,MATMO,2,FALSE)</f>
        <v>-</v>
      </c>
      <c r="F237" s="311"/>
      <c r="G237" s="307" t="str">
        <f>VLOOKUP($A237,MATMO,3,FALSE)</f>
        <v>-</v>
      </c>
      <c r="H237" s="110">
        <f>VLOOKUP($A237,MATMO,4,FALSE)*$Q$6</f>
        <v>0</v>
      </c>
      <c r="I237" s="543" t="str">
        <f t="shared" ref="I237:I240" si="44">+G237</f>
        <v>-</v>
      </c>
      <c r="J237" s="538">
        <f t="shared" si="43"/>
        <v>0</v>
      </c>
      <c r="K237" s="539" t="s">
        <v>2299</v>
      </c>
      <c r="L237" s="20"/>
    </row>
    <row r="238" spans="1:19">
      <c r="A238" s="14" t="s">
        <v>118</v>
      </c>
      <c r="D238" s="18">
        <v>3</v>
      </c>
      <c r="E238" s="26" t="str">
        <f>VLOOKUP($A238,MATMO,2,FALSE)</f>
        <v>-</v>
      </c>
      <c r="F238" s="311"/>
      <c r="G238" s="307" t="str">
        <f>VLOOKUP($A238,MATMO,3,FALSE)</f>
        <v>-</v>
      </c>
      <c r="H238" s="110">
        <f>VLOOKUP($A238,MATMO,4,FALSE)*$Q$6</f>
        <v>0</v>
      </c>
      <c r="I238" s="543" t="str">
        <f t="shared" si="44"/>
        <v>-</v>
      </c>
      <c r="J238" s="538">
        <f t="shared" si="43"/>
        <v>0</v>
      </c>
      <c r="K238" s="539" t="s">
        <v>2299</v>
      </c>
      <c r="L238" s="20"/>
    </row>
    <row r="239" spans="1:19">
      <c r="A239" s="14" t="s">
        <v>118</v>
      </c>
      <c r="D239" s="18">
        <v>4</v>
      </c>
      <c r="E239" s="26" t="str">
        <f>VLOOKUP($A239,MATMO,2,FALSE)</f>
        <v>-</v>
      </c>
      <c r="F239" s="311"/>
      <c r="G239" s="307" t="str">
        <f>VLOOKUP($A239,MATMO,3,FALSE)</f>
        <v>-</v>
      </c>
      <c r="H239" s="110">
        <f>VLOOKUP($A239,MATMO,4,FALSE)*$Q$6</f>
        <v>0</v>
      </c>
      <c r="I239" s="543" t="str">
        <f t="shared" si="44"/>
        <v>-</v>
      </c>
      <c r="J239" s="538">
        <f t="shared" si="43"/>
        <v>0</v>
      </c>
      <c r="K239" s="539" t="s">
        <v>2299</v>
      </c>
      <c r="L239" s="20"/>
    </row>
    <row r="240" spans="1:19">
      <c r="A240" s="14" t="s">
        <v>118</v>
      </c>
      <c r="D240" s="18">
        <v>5</v>
      </c>
      <c r="E240" s="26" t="str">
        <f>VLOOKUP($A240,MATMO,2,FALSE)</f>
        <v>-</v>
      </c>
      <c r="F240" s="311"/>
      <c r="G240" s="307" t="str">
        <f>VLOOKUP($A240,MATMO,3,FALSE)</f>
        <v>-</v>
      </c>
      <c r="H240" s="110">
        <f>VLOOKUP($A240,MATMO,4,FALSE)*$Q$6</f>
        <v>0</v>
      </c>
      <c r="I240" s="543" t="str">
        <f t="shared" si="44"/>
        <v>-</v>
      </c>
      <c r="J240" s="538">
        <f t="shared" si="43"/>
        <v>0</v>
      </c>
      <c r="K240" s="539" t="s">
        <v>2299</v>
      </c>
      <c r="L240" s="20"/>
    </row>
    <row r="241" spans="1:13">
      <c r="A241" s="14">
        <f>A194+1</f>
        <v>5</v>
      </c>
      <c r="B241" s="14" t="str">
        <f>"E" &amp; TEXT(A241,"##000")</f>
        <v>E005</v>
      </c>
      <c r="D241" s="18"/>
      <c r="E241" s="591" t="s">
        <v>2300</v>
      </c>
      <c r="F241" s="592"/>
      <c r="G241" s="592"/>
      <c r="H241" s="592"/>
      <c r="I241" s="327"/>
      <c r="J241" s="362">
        <f>SUM(J236:J240)</f>
        <v>1873.2328952550001</v>
      </c>
      <c r="K241" s="365" t="s">
        <v>116</v>
      </c>
      <c r="L241" s="20"/>
    </row>
    <row r="242" spans="1:13">
      <c r="D242" s="18"/>
      <c r="E242" s="596"/>
      <c r="F242" s="597"/>
      <c r="G242" s="597"/>
      <c r="H242" s="597"/>
      <c r="I242" s="597"/>
      <c r="J242" s="598"/>
      <c r="K242" s="348"/>
      <c r="L242" s="20"/>
    </row>
    <row r="243" spans="1:13">
      <c r="D243" s="18"/>
      <c r="E243" s="591" t="s">
        <v>2306</v>
      </c>
      <c r="F243" s="592"/>
      <c r="G243" s="592"/>
      <c r="H243" s="592"/>
      <c r="I243" s="327"/>
      <c r="J243" s="308">
        <f>+J241+J234+J227</f>
        <v>48704.055276630002</v>
      </c>
      <c r="K243" s="365" t="str">
        <f>+F204</f>
        <v>gl</v>
      </c>
      <c r="L243" s="20"/>
    </row>
    <row r="244" spans="1:13">
      <c r="D244" s="18"/>
      <c r="E244" s="591" t="s">
        <v>2305</v>
      </c>
      <c r="F244" s="592"/>
      <c r="G244" s="592"/>
      <c r="H244" s="592"/>
      <c r="I244" s="406">
        <f>+$Q$9</f>
        <v>1.6902999999999999</v>
      </c>
      <c r="J244" s="308">
        <f>+$Q$9*J243</f>
        <v>82324.464634087693</v>
      </c>
      <c r="K244" s="365" t="str">
        <f>+F204</f>
        <v>gl</v>
      </c>
      <c r="L244" s="20"/>
    </row>
    <row r="245" spans="1:13">
      <c r="A245" s="14">
        <f>A198+1</f>
        <v>5</v>
      </c>
      <c r="B245" s="14" t="str">
        <f>"TR" &amp; TEXT(A245,"##000")</f>
        <v>TR005</v>
      </c>
      <c r="C245" s="14">
        <f>+C198+1</f>
        <v>5</v>
      </c>
      <c r="D245" s="18"/>
      <c r="E245" s="591" t="s">
        <v>2304</v>
      </c>
      <c r="F245" s="592"/>
      <c r="G245" s="592"/>
      <c r="H245" s="592"/>
      <c r="I245" s="327"/>
      <c r="J245" s="308">
        <f>+J244</f>
        <v>82324.464634087693</v>
      </c>
      <c r="K245" s="365" t="str">
        <f>+F204</f>
        <v>gl</v>
      </c>
      <c r="L245" s="20"/>
    </row>
    <row r="246" spans="1:13" ht="16.5" thickBot="1">
      <c r="D246" s="21"/>
      <c r="E246" s="30"/>
      <c r="F246" s="30"/>
      <c r="G246" s="30"/>
      <c r="H246" s="30"/>
      <c r="I246" s="30"/>
      <c r="J246" s="30"/>
      <c r="K246" s="349"/>
      <c r="L246" s="22"/>
    </row>
    <row r="247" spans="1:13" ht="16.5" thickTop="1">
      <c r="D247" s="15"/>
      <c r="E247" s="16"/>
      <c r="F247" s="16"/>
      <c r="G247" s="16"/>
      <c r="H247" s="16"/>
      <c r="I247" s="16"/>
      <c r="J247" s="16"/>
      <c r="K247" s="16"/>
      <c r="L247" s="17"/>
    </row>
    <row r="248" spans="1:13">
      <c r="A248" s="14" t="s">
        <v>1820</v>
      </c>
      <c r="D248" s="18"/>
      <c r="E248" s="23" t="s">
        <v>95</v>
      </c>
      <c r="F248" s="24" t="str">
        <f>VLOOKUP($A248,DATRUB,3,FALSE)</f>
        <v>RUBRO II:</v>
      </c>
      <c r="G248" s="599" t="str">
        <f>VLOOKUP($A248,DATRUB,4,FALSE)</f>
        <v xml:space="preserve"> MOVIMIENTO de SUELOS</v>
      </c>
      <c r="H248" s="599"/>
      <c r="I248" s="599"/>
      <c r="J248" s="599"/>
      <c r="K248" s="599"/>
      <c r="L248" s="20"/>
    </row>
    <row r="249" spans="1:13" ht="35.1" customHeight="1">
      <c r="A249" s="14" t="s">
        <v>1821</v>
      </c>
      <c r="D249" s="18"/>
      <c r="E249" s="23" t="s">
        <v>96</v>
      </c>
      <c r="F249" s="399">
        <f>VLOOKUP($A249,DATRUB,3,FALSE)</f>
        <v>2.1</v>
      </c>
      <c r="G249" s="599" t="str">
        <f>VLOOKUP($A249,DATRUB,4,FALSE)</f>
        <v>Relleno y compactacion con material de aporte</v>
      </c>
      <c r="H249" s="599"/>
      <c r="I249" s="599"/>
      <c r="J249" s="599"/>
      <c r="K249" s="599"/>
      <c r="L249" s="20"/>
    </row>
    <row r="250" spans="1:13" ht="35.1" customHeight="1">
      <c r="A250" s="14" t="s">
        <v>1821</v>
      </c>
      <c r="D250" s="18"/>
      <c r="E250" s="23" t="s">
        <v>97</v>
      </c>
      <c r="F250" s="399">
        <f>VLOOKUP($A250,DATRUB,3,FALSE)</f>
        <v>2.1</v>
      </c>
      <c r="G250" s="599" t="str">
        <f>VLOOKUP($A250,DATRUB,4,FALSE)</f>
        <v>Relleno y compactacion con material de aporte</v>
      </c>
      <c r="H250" s="599"/>
      <c r="I250" s="599"/>
      <c r="J250" s="599"/>
      <c r="K250" s="599"/>
      <c r="L250" s="20"/>
    </row>
    <row r="251" spans="1:13">
      <c r="D251" s="18"/>
      <c r="E251" s="23" t="s">
        <v>98</v>
      </c>
      <c r="F251" s="24" t="str">
        <f>VLOOKUP($A250,DATRUB,5,FALSE)</f>
        <v>m3</v>
      </c>
      <c r="G251" s="600"/>
      <c r="H251" s="600"/>
      <c r="I251" s="600"/>
      <c r="J251" s="600"/>
      <c r="K251" s="600"/>
      <c r="L251" s="20"/>
    </row>
    <row r="252" spans="1:13">
      <c r="D252" s="18"/>
      <c r="E252" s="24" t="s">
        <v>1158</v>
      </c>
      <c r="F252" s="25" t="s">
        <v>1250</v>
      </c>
      <c r="G252" s="24" t="s">
        <v>24</v>
      </c>
      <c r="H252" s="24" t="s">
        <v>25</v>
      </c>
      <c r="I252" s="24" t="s">
        <v>24</v>
      </c>
      <c r="J252" s="24" t="s">
        <v>2298</v>
      </c>
      <c r="K252" s="24" t="s">
        <v>24</v>
      </c>
      <c r="L252" s="20"/>
    </row>
    <row r="253" spans="1:13">
      <c r="D253" s="18"/>
      <c r="E253" s="593" t="s">
        <v>99</v>
      </c>
      <c r="F253" s="594"/>
      <c r="G253" s="594"/>
      <c r="H253" s="594"/>
      <c r="I253" s="594"/>
      <c r="J253" s="594"/>
      <c r="K253" s="595"/>
      <c r="L253" s="20"/>
    </row>
    <row r="254" spans="1:13">
      <c r="A254" s="14" t="s">
        <v>2360</v>
      </c>
      <c r="D254" s="18">
        <v>1</v>
      </c>
      <c r="E254" s="355" t="str">
        <f t="shared" ref="E254:E273" si="45">VLOOKUP($A254,MATMO,2,FALSE)</f>
        <v>Material de relleno</v>
      </c>
      <c r="F254" s="356">
        <v>1.3</v>
      </c>
      <c r="G254" s="357" t="str">
        <f t="shared" ref="G254:G273" si="46">VLOOKUP($A254,MATMO,3,FALSE)</f>
        <v>m³</v>
      </c>
      <c r="H254" s="410">
        <f t="shared" ref="H254:H273" si="47">VLOOKUP($A254,MATMO,4,FALSE)*$Q$6</f>
        <v>150</v>
      </c>
      <c r="I254" s="359" t="str">
        <f t="shared" ref="I254:I273" si="48">+G254</f>
        <v>m³</v>
      </c>
      <c r="J254" s="361">
        <f>+H254*F254</f>
        <v>195</v>
      </c>
      <c r="K254" s="360" t="s">
        <v>2299</v>
      </c>
      <c r="L254" s="20"/>
      <c r="M254" s="14" t="s">
        <v>2005</v>
      </c>
    </row>
    <row r="255" spans="1:13">
      <c r="A255" s="14" t="s">
        <v>31</v>
      </c>
      <c r="D255" s="18">
        <v>2</v>
      </c>
      <c r="E255" s="26" t="str">
        <f t="shared" si="45"/>
        <v>-</v>
      </c>
      <c r="F255" s="311"/>
      <c r="G255" s="307" t="str">
        <f t="shared" si="46"/>
        <v>-</v>
      </c>
      <c r="H255" s="351">
        <f t="shared" si="47"/>
        <v>0</v>
      </c>
      <c r="I255" s="537" t="str">
        <f t="shared" si="48"/>
        <v>-</v>
      </c>
      <c r="J255" s="538">
        <f t="shared" ref="J255:J273" si="49">+H255*F255</f>
        <v>0</v>
      </c>
      <c r="K255" s="539" t="s">
        <v>2299</v>
      </c>
      <c r="L255" s="20"/>
    </row>
    <row r="256" spans="1:13">
      <c r="A256" s="14" t="s">
        <v>31</v>
      </c>
      <c r="D256" s="18">
        <v>3</v>
      </c>
      <c r="E256" s="26" t="str">
        <f t="shared" si="45"/>
        <v>-</v>
      </c>
      <c r="F256" s="311"/>
      <c r="G256" s="307" t="str">
        <f t="shared" si="46"/>
        <v>-</v>
      </c>
      <c r="H256" s="351">
        <f t="shared" si="47"/>
        <v>0</v>
      </c>
      <c r="I256" s="537" t="str">
        <f t="shared" si="48"/>
        <v>-</v>
      </c>
      <c r="J256" s="538">
        <f t="shared" si="49"/>
        <v>0</v>
      </c>
      <c r="K256" s="539" t="s">
        <v>2299</v>
      </c>
      <c r="L256" s="20"/>
    </row>
    <row r="257" spans="1:12">
      <c r="A257" s="14" t="s">
        <v>31</v>
      </c>
      <c r="D257" s="18">
        <v>4</v>
      </c>
      <c r="E257" s="26" t="str">
        <f t="shared" si="45"/>
        <v>-</v>
      </c>
      <c r="F257" s="311"/>
      <c r="G257" s="307" t="str">
        <f t="shared" si="46"/>
        <v>-</v>
      </c>
      <c r="H257" s="351">
        <f t="shared" si="47"/>
        <v>0</v>
      </c>
      <c r="I257" s="537" t="str">
        <f t="shared" si="48"/>
        <v>-</v>
      </c>
      <c r="J257" s="538">
        <f t="shared" si="49"/>
        <v>0</v>
      </c>
      <c r="K257" s="539" t="s">
        <v>2299</v>
      </c>
      <c r="L257" s="20"/>
    </row>
    <row r="258" spans="1:12">
      <c r="A258" s="14" t="s">
        <v>31</v>
      </c>
      <c r="D258" s="18">
        <v>5</v>
      </c>
      <c r="E258" s="26" t="str">
        <f t="shared" si="45"/>
        <v>-</v>
      </c>
      <c r="F258" s="311"/>
      <c r="G258" s="307" t="str">
        <f t="shared" si="46"/>
        <v>-</v>
      </c>
      <c r="H258" s="351">
        <f t="shared" si="47"/>
        <v>0</v>
      </c>
      <c r="I258" s="537" t="str">
        <f t="shared" si="48"/>
        <v>-</v>
      </c>
      <c r="J258" s="538">
        <f t="shared" si="49"/>
        <v>0</v>
      </c>
      <c r="K258" s="539" t="s">
        <v>2299</v>
      </c>
      <c r="L258" s="20"/>
    </row>
    <row r="259" spans="1:12">
      <c r="A259" s="14" t="s">
        <v>31</v>
      </c>
      <c r="D259" s="18">
        <v>6</v>
      </c>
      <c r="E259" s="26" t="str">
        <f t="shared" si="45"/>
        <v>-</v>
      </c>
      <c r="F259" s="311"/>
      <c r="G259" s="307" t="str">
        <f t="shared" si="46"/>
        <v>-</v>
      </c>
      <c r="H259" s="351">
        <f t="shared" si="47"/>
        <v>0</v>
      </c>
      <c r="I259" s="537" t="str">
        <f t="shared" si="48"/>
        <v>-</v>
      </c>
      <c r="J259" s="538">
        <f t="shared" si="49"/>
        <v>0</v>
      </c>
      <c r="K259" s="539" t="s">
        <v>2299</v>
      </c>
      <c r="L259" s="20"/>
    </row>
    <row r="260" spans="1:12">
      <c r="A260" s="14" t="s">
        <v>31</v>
      </c>
      <c r="D260" s="18">
        <v>7</v>
      </c>
      <c r="E260" s="26" t="str">
        <f t="shared" si="45"/>
        <v>-</v>
      </c>
      <c r="F260" s="311"/>
      <c r="G260" s="307" t="str">
        <f t="shared" si="46"/>
        <v>-</v>
      </c>
      <c r="H260" s="351">
        <f t="shared" si="47"/>
        <v>0</v>
      </c>
      <c r="I260" s="537" t="str">
        <f t="shared" si="48"/>
        <v>-</v>
      </c>
      <c r="J260" s="538">
        <f t="shared" si="49"/>
        <v>0</v>
      </c>
      <c r="K260" s="539" t="s">
        <v>2299</v>
      </c>
      <c r="L260" s="20"/>
    </row>
    <row r="261" spans="1:12">
      <c r="A261" s="14" t="s">
        <v>31</v>
      </c>
      <c r="D261" s="18">
        <v>8</v>
      </c>
      <c r="E261" s="26" t="str">
        <f t="shared" si="45"/>
        <v>-</v>
      </c>
      <c r="F261" s="311"/>
      <c r="G261" s="307" t="str">
        <f t="shared" si="46"/>
        <v>-</v>
      </c>
      <c r="H261" s="351">
        <f t="shared" si="47"/>
        <v>0</v>
      </c>
      <c r="I261" s="537" t="str">
        <f t="shared" si="48"/>
        <v>-</v>
      </c>
      <c r="J261" s="538">
        <f t="shared" si="49"/>
        <v>0</v>
      </c>
      <c r="K261" s="539" t="s">
        <v>2299</v>
      </c>
      <c r="L261" s="20"/>
    </row>
    <row r="262" spans="1:12">
      <c r="A262" s="14" t="s">
        <v>31</v>
      </c>
      <c r="D262" s="18">
        <v>9</v>
      </c>
      <c r="E262" s="26" t="str">
        <f t="shared" si="45"/>
        <v>-</v>
      </c>
      <c r="F262" s="311"/>
      <c r="G262" s="307" t="str">
        <f t="shared" si="46"/>
        <v>-</v>
      </c>
      <c r="H262" s="351">
        <f t="shared" si="47"/>
        <v>0</v>
      </c>
      <c r="I262" s="537" t="str">
        <f t="shared" si="48"/>
        <v>-</v>
      </c>
      <c r="J262" s="538">
        <f t="shared" si="49"/>
        <v>0</v>
      </c>
      <c r="K262" s="539" t="s">
        <v>2299</v>
      </c>
      <c r="L262" s="20"/>
    </row>
    <row r="263" spans="1:12">
      <c r="A263" s="14" t="s">
        <v>31</v>
      </c>
      <c r="D263" s="18">
        <v>10</v>
      </c>
      <c r="E263" s="26" t="str">
        <f t="shared" si="45"/>
        <v>-</v>
      </c>
      <c r="F263" s="311"/>
      <c r="G263" s="307" t="str">
        <f t="shared" si="46"/>
        <v>-</v>
      </c>
      <c r="H263" s="351">
        <f t="shared" si="47"/>
        <v>0</v>
      </c>
      <c r="I263" s="537" t="str">
        <f t="shared" si="48"/>
        <v>-</v>
      </c>
      <c r="J263" s="538">
        <f t="shared" si="49"/>
        <v>0</v>
      </c>
      <c r="K263" s="539" t="s">
        <v>2299</v>
      </c>
      <c r="L263" s="20"/>
    </row>
    <row r="264" spans="1:12">
      <c r="A264" s="14" t="s">
        <v>31</v>
      </c>
      <c r="D264" s="18">
        <v>11</v>
      </c>
      <c r="E264" s="26" t="str">
        <f t="shared" si="45"/>
        <v>-</v>
      </c>
      <c r="F264" s="311"/>
      <c r="G264" s="307" t="str">
        <f t="shared" si="46"/>
        <v>-</v>
      </c>
      <c r="H264" s="351">
        <f t="shared" si="47"/>
        <v>0</v>
      </c>
      <c r="I264" s="537" t="str">
        <f t="shared" si="48"/>
        <v>-</v>
      </c>
      <c r="J264" s="538">
        <f t="shared" si="49"/>
        <v>0</v>
      </c>
      <c r="K264" s="539" t="s">
        <v>2299</v>
      </c>
      <c r="L264" s="20"/>
    </row>
    <row r="265" spans="1:12">
      <c r="A265" s="14" t="s">
        <v>31</v>
      </c>
      <c r="D265" s="18">
        <v>12</v>
      </c>
      <c r="E265" s="26" t="str">
        <f t="shared" si="45"/>
        <v>-</v>
      </c>
      <c r="F265" s="311"/>
      <c r="G265" s="307" t="str">
        <f t="shared" si="46"/>
        <v>-</v>
      </c>
      <c r="H265" s="352">
        <f t="shared" si="47"/>
        <v>0</v>
      </c>
      <c r="I265" s="537" t="str">
        <f t="shared" si="48"/>
        <v>-</v>
      </c>
      <c r="J265" s="538">
        <f t="shared" si="49"/>
        <v>0</v>
      </c>
      <c r="K265" s="539" t="s">
        <v>2299</v>
      </c>
      <c r="L265" s="20"/>
    </row>
    <row r="266" spans="1:12">
      <c r="A266" s="14" t="s">
        <v>31</v>
      </c>
      <c r="D266" s="18">
        <v>13</v>
      </c>
      <c r="E266" s="26" t="str">
        <f t="shared" si="45"/>
        <v>-</v>
      </c>
      <c r="F266" s="311"/>
      <c r="G266" s="307" t="str">
        <f t="shared" si="46"/>
        <v>-</v>
      </c>
      <c r="H266" s="352">
        <f t="shared" si="47"/>
        <v>0</v>
      </c>
      <c r="I266" s="537" t="str">
        <f t="shared" si="48"/>
        <v>-</v>
      </c>
      <c r="J266" s="538">
        <f t="shared" si="49"/>
        <v>0</v>
      </c>
      <c r="K266" s="539" t="s">
        <v>2299</v>
      </c>
      <c r="L266" s="20"/>
    </row>
    <row r="267" spans="1:12">
      <c r="A267" s="14" t="s">
        <v>31</v>
      </c>
      <c r="D267" s="18">
        <v>14</v>
      </c>
      <c r="E267" s="26" t="str">
        <f t="shared" si="45"/>
        <v>-</v>
      </c>
      <c r="F267" s="311"/>
      <c r="G267" s="307" t="str">
        <f t="shared" si="46"/>
        <v>-</v>
      </c>
      <c r="H267" s="352">
        <f t="shared" si="47"/>
        <v>0</v>
      </c>
      <c r="I267" s="537" t="str">
        <f t="shared" si="48"/>
        <v>-</v>
      </c>
      <c r="J267" s="538">
        <f t="shared" si="49"/>
        <v>0</v>
      </c>
      <c r="K267" s="539" t="s">
        <v>2299</v>
      </c>
      <c r="L267" s="20"/>
    </row>
    <row r="268" spans="1:12">
      <c r="A268" s="14" t="s">
        <v>31</v>
      </c>
      <c r="D268" s="18">
        <v>15</v>
      </c>
      <c r="E268" s="26" t="str">
        <f t="shared" si="45"/>
        <v>-</v>
      </c>
      <c r="F268" s="311"/>
      <c r="G268" s="307" t="str">
        <f t="shared" si="46"/>
        <v>-</v>
      </c>
      <c r="H268" s="352">
        <f t="shared" si="47"/>
        <v>0</v>
      </c>
      <c r="I268" s="537" t="str">
        <f t="shared" si="48"/>
        <v>-</v>
      </c>
      <c r="J268" s="538">
        <f t="shared" si="49"/>
        <v>0</v>
      </c>
      <c r="K268" s="539" t="s">
        <v>2299</v>
      </c>
      <c r="L268" s="20"/>
    </row>
    <row r="269" spans="1:12">
      <c r="A269" s="14" t="s">
        <v>31</v>
      </c>
      <c r="D269" s="18">
        <v>16</v>
      </c>
      <c r="E269" s="26" t="str">
        <f t="shared" si="45"/>
        <v>-</v>
      </c>
      <c r="F269" s="311"/>
      <c r="G269" s="307" t="str">
        <f t="shared" si="46"/>
        <v>-</v>
      </c>
      <c r="H269" s="352">
        <f t="shared" si="47"/>
        <v>0</v>
      </c>
      <c r="I269" s="537" t="str">
        <f t="shared" si="48"/>
        <v>-</v>
      </c>
      <c r="J269" s="538">
        <f t="shared" si="49"/>
        <v>0</v>
      </c>
      <c r="K269" s="539" t="s">
        <v>2299</v>
      </c>
      <c r="L269" s="20"/>
    </row>
    <row r="270" spans="1:12">
      <c r="A270" s="14" t="s">
        <v>31</v>
      </c>
      <c r="D270" s="18">
        <v>17</v>
      </c>
      <c r="E270" s="26" t="str">
        <f t="shared" si="45"/>
        <v>-</v>
      </c>
      <c r="F270" s="311"/>
      <c r="G270" s="307" t="str">
        <f t="shared" si="46"/>
        <v>-</v>
      </c>
      <c r="H270" s="352">
        <f t="shared" si="47"/>
        <v>0</v>
      </c>
      <c r="I270" s="537" t="str">
        <f t="shared" si="48"/>
        <v>-</v>
      </c>
      <c r="J270" s="538">
        <f t="shared" si="49"/>
        <v>0</v>
      </c>
      <c r="K270" s="539" t="s">
        <v>2299</v>
      </c>
      <c r="L270" s="20"/>
    </row>
    <row r="271" spans="1:12">
      <c r="A271" s="14" t="s">
        <v>31</v>
      </c>
      <c r="D271" s="18">
        <v>18</v>
      </c>
      <c r="E271" s="26" t="str">
        <f t="shared" si="45"/>
        <v>-</v>
      </c>
      <c r="F271" s="311"/>
      <c r="G271" s="307" t="str">
        <f t="shared" si="46"/>
        <v>-</v>
      </c>
      <c r="H271" s="352">
        <f t="shared" si="47"/>
        <v>0</v>
      </c>
      <c r="I271" s="537" t="str">
        <f t="shared" si="48"/>
        <v>-</v>
      </c>
      <c r="J271" s="538">
        <f t="shared" si="49"/>
        <v>0</v>
      </c>
      <c r="K271" s="539" t="s">
        <v>2299</v>
      </c>
      <c r="L271" s="20"/>
    </row>
    <row r="272" spans="1:12">
      <c r="A272" s="14" t="s">
        <v>31</v>
      </c>
      <c r="D272" s="18">
        <v>19</v>
      </c>
      <c r="E272" s="26" t="str">
        <f t="shared" si="45"/>
        <v>-</v>
      </c>
      <c r="F272" s="311"/>
      <c r="G272" s="307" t="str">
        <f t="shared" si="46"/>
        <v>-</v>
      </c>
      <c r="H272" s="352">
        <f t="shared" si="47"/>
        <v>0</v>
      </c>
      <c r="I272" s="537" t="str">
        <f t="shared" si="48"/>
        <v>-</v>
      </c>
      <c r="J272" s="538">
        <f t="shared" si="49"/>
        <v>0</v>
      </c>
      <c r="K272" s="539" t="s">
        <v>2299</v>
      </c>
      <c r="L272" s="20"/>
    </row>
    <row r="273" spans="1:19">
      <c r="A273" s="14" t="s">
        <v>31</v>
      </c>
      <c r="D273" s="18">
        <v>20</v>
      </c>
      <c r="E273" s="26" t="str">
        <f t="shared" si="45"/>
        <v>-</v>
      </c>
      <c r="F273" s="311"/>
      <c r="G273" s="307" t="str">
        <f t="shared" si="46"/>
        <v>-</v>
      </c>
      <c r="H273" s="352">
        <f t="shared" si="47"/>
        <v>0</v>
      </c>
      <c r="I273" s="537" t="str">
        <f t="shared" si="48"/>
        <v>-</v>
      </c>
      <c r="J273" s="541">
        <f t="shared" si="49"/>
        <v>0</v>
      </c>
      <c r="K273" s="539" t="s">
        <v>2299</v>
      </c>
      <c r="L273" s="20"/>
    </row>
    <row r="274" spans="1:19">
      <c r="A274" s="14">
        <f>A241+1</f>
        <v>6</v>
      </c>
      <c r="B274" s="14" t="str">
        <f>"MA" &amp; TEXT(A274,"##000")</f>
        <v>MA006</v>
      </c>
      <c r="D274" s="18"/>
      <c r="E274" s="591" t="s">
        <v>2302</v>
      </c>
      <c r="F274" s="592"/>
      <c r="G274" s="592"/>
      <c r="H274" s="592"/>
      <c r="I274" s="327"/>
      <c r="J274" s="353">
        <f>SUM(J254:J273)</f>
        <v>195</v>
      </c>
      <c r="K274" s="365" t="str">
        <f>+F251</f>
        <v>m3</v>
      </c>
      <c r="L274" s="20"/>
      <c r="O274" s="27" t="s">
        <v>1525</v>
      </c>
      <c r="P274" s="110">
        <v>15</v>
      </c>
      <c r="Q274" s="14" t="s">
        <v>2363</v>
      </c>
    </row>
    <row r="275" spans="1:19">
      <c r="D275" s="18"/>
      <c r="E275" s="593" t="s">
        <v>100</v>
      </c>
      <c r="F275" s="594"/>
      <c r="G275" s="594"/>
      <c r="H275" s="594"/>
      <c r="I275" s="594"/>
      <c r="J275" s="595"/>
      <c r="K275" s="347"/>
      <c r="L275" s="20"/>
      <c r="O275" s="27" t="s">
        <v>1524</v>
      </c>
      <c r="P275" s="110">
        <v>20</v>
      </c>
      <c r="Q275" s="14" t="s">
        <v>2364</v>
      </c>
    </row>
    <row r="276" spans="1:19">
      <c r="A276" s="14" t="s">
        <v>84</v>
      </c>
      <c r="D276" s="18">
        <v>1</v>
      </c>
      <c r="E276" s="26" t="str">
        <f>VLOOKUP($A276,MATMO,2,FALSE)</f>
        <v>Oficial</v>
      </c>
      <c r="F276" s="311">
        <v>0.45</v>
      </c>
      <c r="G276" s="307" t="str">
        <f>VLOOKUP($A276,MATMO,3,FALSE)</f>
        <v>hs</v>
      </c>
      <c r="H276" s="110">
        <f>VLOOKUP($A276,MATMO,4,FALSE)*$Q$7</f>
        <v>55.38</v>
      </c>
      <c r="I276" s="354" t="str">
        <f t="shared" ref="I276:I280" si="50">+G276</f>
        <v>hs</v>
      </c>
      <c r="J276" s="350">
        <f t="shared" ref="J276:J280" si="51">+H276*F276</f>
        <v>24.921000000000003</v>
      </c>
      <c r="K276" s="360" t="s">
        <v>2299</v>
      </c>
      <c r="L276" s="20"/>
      <c r="M276" s="14" t="s">
        <v>2006</v>
      </c>
      <c r="O276" s="27" t="s">
        <v>1526</v>
      </c>
      <c r="P276" s="110">
        <v>0</v>
      </c>
    </row>
    <row r="277" spans="1:19">
      <c r="A277" s="14" t="s">
        <v>85</v>
      </c>
      <c r="D277" s="18">
        <v>2</v>
      </c>
      <c r="E277" s="26" t="str">
        <f>VLOOKUP($A277,MATMO,2,FALSE)</f>
        <v>Ayudante</v>
      </c>
      <c r="F277" s="311">
        <v>0.2</v>
      </c>
      <c r="G277" s="307" t="str">
        <f>VLOOKUP($A277,MATMO,3,FALSE)</f>
        <v>hs</v>
      </c>
      <c r="H277" s="110">
        <f>VLOOKUP($A277,MATMO,4,FALSE)*$Q$7</f>
        <v>46.87</v>
      </c>
      <c r="I277" s="354" t="str">
        <f t="shared" si="50"/>
        <v>hs</v>
      </c>
      <c r="J277" s="350">
        <f t="shared" si="51"/>
        <v>9.3740000000000006</v>
      </c>
      <c r="K277" s="360" t="s">
        <v>2299</v>
      </c>
      <c r="L277" s="20"/>
      <c r="O277" s="27" t="s">
        <v>1527</v>
      </c>
      <c r="P277" s="110">
        <v>0</v>
      </c>
    </row>
    <row r="278" spans="1:19">
      <c r="A278" s="14" t="s">
        <v>2311</v>
      </c>
      <c r="D278" s="18">
        <v>3</v>
      </c>
      <c r="E278" s="26" t="str">
        <f>VLOOKUP($A278,MATMO,2,FALSE)</f>
        <v>Cargas Sociales Oficial</v>
      </c>
      <c r="F278" s="311">
        <f>+F276</f>
        <v>0.45</v>
      </c>
      <c r="G278" s="307" t="str">
        <f>VLOOKUP($A278,MATMO,3,FALSE)</f>
        <v>hs</v>
      </c>
      <c r="H278" s="110">
        <f>VLOOKUP($A278,MATMO,4,FALSE)*$Q$7</f>
        <v>52.742782499999997</v>
      </c>
      <c r="I278" s="354" t="str">
        <f t="shared" si="50"/>
        <v>hs</v>
      </c>
      <c r="J278" s="350">
        <f t="shared" si="51"/>
        <v>23.734252124999998</v>
      </c>
      <c r="K278" s="360" t="s">
        <v>2299</v>
      </c>
      <c r="L278" s="20"/>
      <c r="O278" s="27"/>
      <c r="P278" s="110">
        <v>0</v>
      </c>
    </row>
    <row r="279" spans="1:19">
      <c r="A279" s="14" t="s">
        <v>2312</v>
      </c>
      <c r="D279" s="18">
        <v>4</v>
      </c>
      <c r="E279" s="26" t="str">
        <f>VLOOKUP($A279,MATMO,2,FALSE)</f>
        <v>Cargas Sociales Ayudante</v>
      </c>
      <c r="F279" s="311">
        <f>+F277</f>
        <v>0.2</v>
      </c>
      <c r="G279" s="307" t="str">
        <f>VLOOKUP($A279,MATMO,3,FALSE)</f>
        <v>hs</v>
      </c>
      <c r="H279" s="110">
        <f>VLOOKUP($A279,MATMO,4,FALSE)*$Q$7</f>
        <v>45.108248750000001</v>
      </c>
      <c r="I279" s="354" t="str">
        <f t="shared" si="50"/>
        <v>hs</v>
      </c>
      <c r="J279" s="350">
        <f t="shared" si="51"/>
        <v>9.0216497499999999</v>
      </c>
      <c r="K279" s="360" t="s">
        <v>2299</v>
      </c>
      <c r="L279" s="20"/>
      <c r="O279" s="27"/>
      <c r="P279" s="110">
        <v>0</v>
      </c>
    </row>
    <row r="280" spans="1:19" ht="16.5" thickBot="1">
      <c r="A280" s="14" t="s">
        <v>83</v>
      </c>
      <c r="D280" s="18">
        <v>5</v>
      </c>
      <c r="E280" s="26" t="str">
        <f>VLOOKUP($A280,MATMO,2,FALSE)</f>
        <v>-</v>
      </c>
      <c r="F280" s="311"/>
      <c r="G280" s="307" t="str">
        <f>VLOOKUP($A280,MATMO,3,FALSE)</f>
        <v>-</v>
      </c>
      <c r="H280" s="110">
        <f>VLOOKUP($A280,MATMO,4,FALSE)*$Q$7</f>
        <v>0</v>
      </c>
      <c r="I280" s="537" t="str">
        <f t="shared" si="50"/>
        <v>-</v>
      </c>
      <c r="J280" s="538">
        <f t="shared" si="51"/>
        <v>0</v>
      </c>
      <c r="K280" s="539" t="s">
        <v>2299</v>
      </c>
      <c r="L280" s="20"/>
      <c r="O280" s="27"/>
      <c r="P280" s="110">
        <v>0</v>
      </c>
      <c r="R280" s="29" t="s">
        <v>2307</v>
      </c>
    </row>
    <row r="281" spans="1:19" ht="16.5" thickBot="1">
      <c r="A281" s="14">
        <f>A241+1</f>
        <v>6</v>
      </c>
      <c r="B281" s="14" t="str">
        <f>"MO" &amp; TEXT(A281,"##000")</f>
        <v>MO006</v>
      </c>
      <c r="D281" s="18"/>
      <c r="E281" s="591" t="s">
        <v>2301</v>
      </c>
      <c r="F281" s="592"/>
      <c r="G281" s="592"/>
      <c r="H281" s="592"/>
      <c r="I281" s="327"/>
      <c r="J281" s="362">
        <f>SUM(J276:J280)</f>
        <v>67.050901874999994</v>
      </c>
      <c r="K281" s="365" t="str">
        <f>+G276</f>
        <v>hs</v>
      </c>
      <c r="L281" s="20"/>
      <c r="N281" s="111">
        <f>+P281+R281</f>
        <v>66.5</v>
      </c>
      <c r="O281" s="27"/>
      <c r="P281" s="27">
        <f>SUM(P274:P280)</f>
        <v>35</v>
      </c>
      <c r="Q281" s="26">
        <v>0.9</v>
      </c>
      <c r="R281" s="287">
        <f>+Q281*P281</f>
        <v>31.5</v>
      </c>
      <c r="S281" s="288"/>
    </row>
    <row r="282" spans="1:19">
      <c r="D282" s="18"/>
      <c r="E282" s="593" t="s">
        <v>101</v>
      </c>
      <c r="F282" s="594"/>
      <c r="G282" s="594"/>
      <c r="H282" s="594"/>
      <c r="I282" s="594"/>
      <c r="J282" s="595"/>
      <c r="K282" s="347"/>
      <c r="L282" s="20"/>
      <c r="P282" s="14" t="s">
        <v>2308</v>
      </c>
    </row>
    <row r="283" spans="1:19">
      <c r="A283" s="14" t="s">
        <v>119</v>
      </c>
      <c r="D283" s="18">
        <v>1</v>
      </c>
      <c r="E283" s="26" t="str">
        <f>VLOOKUP($A283,MATMO,2,FALSE)</f>
        <v>Herramientas de Mano</v>
      </c>
      <c r="F283" s="311">
        <v>1</v>
      </c>
      <c r="G283" s="307" t="str">
        <f>VLOOKUP($A283,MATMO,3,FALSE)</f>
        <v>gl</v>
      </c>
      <c r="H283" s="110">
        <f>+(J274+J281)*$Q$5</f>
        <v>10.482036075000002</v>
      </c>
      <c r="I283" s="345" t="str">
        <f>+G283</f>
        <v>gl</v>
      </c>
      <c r="J283" s="350">
        <f t="shared" ref="J283:J287" si="52">+H283*F283</f>
        <v>10.482036075000002</v>
      </c>
      <c r="K283" s="360" t="s">
        <v>2299</v>
      </c>
      <c r="L283" s="20"/>
      <c r="M283" s="14" t="s">
        <v>2004</v>
      </c>
    </row>
    <row r="284" spans="1:19">
      <c r="A284" s="14" t="s">
        <v>2361</v>
      </c>
      <c r="D284" s="18">
        <v>2</v>
      </c>
      <c r="E284" s="26" t="str">
        <f>VLOOKUP($A284,MATMO,2,FALSE)</f>
        <v>Retroexcavadora</v>
      </c>
      <c r="F284" s="311">
        <v>0.1</v>
      </c>
      <c r="G284" s="307" t="str">
        <f>VLOOKUP($A284,MATMO,3,FALSE)</f>
        <v>hs</v>
      </c>
      <c r="H284" s="110">
        <f>VLOOKUP($A284,MATMO,4,FALSE)*$Q$6</f>
        <v>450</v>
      </c>
      <c r="I284" s="345" t="str">
        <f t="shared" ref="I284:I287" si="53">+G284</f>
        <v>hs</v>
      </c>
      <c r="J284" s="350">
        <f t="shared" si="52"/>
        <v>45</v>
      </c>
      <c r="K284" s="360" t="s">
        <v>2299</v>
      </c>
      <c r="L284" s="20"/>
    </row>
    <row r="285" spans="1:19">
      <c r="A285" s="14" t="s">
        <v>2362</v>
      </c>
      <c r="D285" s="18">
        <v>3</v>
      </c>
      <c r="E285" s="26" t="str">
        <f>VLOOKUP($A285,MATMO,2,FALSE)</f>
        <v>Moto Compactador</v>
      </c>
      <c r="F285" s="311">
        <v>0.2</v>
      </c>
      <c r="G285" s="307" t="str">
        <f>VLOOKUP($A285,MATMO,3,FALSE)</f>
        <v>hs</v>
      </c>
      <c r="H285" s="110">
        <f>VLOOKUP($A285,MATMO,4,FALSE)*$Q$6</f>
        <v>126</v>
      </c>
      <c r="I285" s="345" t="str">
        <f t="shared" si="53"/>
        <v>hs</v>
      </c>
      <c r="J285" s="350">
        <f t="shared" si="52"/>
        <v>25.200000000000003</v>
      </c>
      <c r="K285" s="360" t="s">
        <v>2299</v>
      </c>
      <c r="L285" s="20"/>
    </row>
    <row r="286" spans="1:19">
      <c r="A286" s="14" t="s">
        <v>118</v>
      </c>
      <c r="D286" s="18">
        <v>4</v>
      </c>
      <c r="E286" s="26" t="str">
        <f>VLOOKUP($A286,MATMO,2,FALSE)</f>
        <v>-</v>
      </c>
      <c r="F286" s="311"/>
      <c r="G286" s="307" t="str">
        <f>VLOOKUP($A286,MATMO,3,FALSE)</f>
        <v>-</v>
      </c>
      <c r="H286" s="110">
        <f>VLOOKUP($A286,MATMO,4,FALSE)*$Q$6</f>
        <v>0</v>
      </c>
      <c r="I286" s="345" t="str">
        <f t="shared" si="53"/>
        <v>-</v>
      </c>
      <c r="J286" s="350">
        <f t="shared" si="52"/>
        <v>0</v>
      </c>
      <c r="K286" s="360" t="s">
        <v>2299</v>
      </c>
      <c r="L286" s="20"/>
    </row>
    <row r="287" spans="1:19">
      <c r="A287" s="14" t="s">
        <v>118</v>
      </c>
      <c r="D287" s="18">
        <v>5</v>
      </c>
      <c r="E287" s="26" t="str">
        <f>VLOOKUP($A287,MATMO,2,FALSE)</f>
        <v>-</v>
      </c>
      <c r="F287" s="311"/>
      <c r="G287" s="307" t="str">
        <f>VLOOKUP($A287,MATMO,3,FALSE)</f>
        <v>-</v>
      </c>
      <c r="H287" s="110">
        <f>VLOOKUP($A287,MATMO,4,FALSE)*$Q$6</f>
        <v>0</v>
      </c>
      <c r="I287" s="543" t="str">
        <f t="shared" si="53"/>
        <v>-</v>
      </c>
      <c r="J287" s="538">
        <f t="shared" si="52"/>
        <v>0</v>
      </c>
      <c r="K287" s="539" t="s">
        <v>2299</v>
      </c>
      <c r="L287" s="20"/>
    </row>
    <row r="288" spans="1:19">
      <c r="A288" s="14">
        <f>A241+1</f>
        <v>6</v>
      </c>
      <c r="B288" s="14" t="str">
        <f>"E" &amp; TEXT(A288,"##000")</f>
        <v>E006</v>
      </c>
      <c r="D288" s="18"/>
      <c r="E288" s="591" t="s">
        <v>2300</v>
      </c>
      <c r="F288" s="592"/>
      <c r="G288" s="592"/>
      <c r="H288" s="592"/>
      <c r="I288" s="327"/>
      <c r="J288" s="362">
        <f>SUM(J283:J287)</f>
        <v>80.682036075000013</v>
      </c>
      <c r="K288" s="365" t="s">
        <v>116</v>
      </c>
      <c r="L288" s="20"/>
    </row>
    <row r="289" spans="1:13">
      <c r="D289" s="18"/>
      <c r="E289" s="596"/>
      <c r="F289" s="597"/>
      <c r="G289" s="597"/>
      <c r="H289" s="597"/>
      <c r="I289" s="597"/>
      <c r="J289" s="598"/>
      <c r="K289" s="348"/>
      <c r="L289" s="20"/>
    </row>
    <row r="290" spans="1:13">
      <c r="D290" s="18"/>
      <c r="E290" s="591" t="s">
        <v>2306</v>
      </c>
      <c r="F290" s="592"/>
      <c r="G290" s="592"/>
      <c r="H290" s="592"/>
      <c r="I290" s="327"/>
      <c r="J290" s="308">
        <f>+J288+J281+J274</f>
        <v>342.73293795000001</v>
      </c>
      <c r="K290" s="365" t="str">
        <f>+F251</f>
        <v>m3</v>
      </c>
      <c r="L290" s="20"/>
    </row>
    <row r="291" spans="1:13">
      <c r="D291" s="18"/>
      <c r="E291" s="591" t="s">
        <v>2305</v>
      </c>
      <c r="F291" s="592"/>
      <c r="G291" s="592"/>
      <c r="H291" s="592"/>
      <c r="I291" s="406">
        <f>+$Q$9</f>
        <v>1.6902999999999999</v>
      </c>
      <c r="J291" s="308">
        <f>+$Q$9*J290</f>
        <v>579.32148501688494</v>
      </c>
      <c r="K291" s="365" t="str">
        <f>+F251</f>
        <v>m3</v>
      </c>
      <c r="L291" s="20"/>
    </row>
    <row r="292" spans="1:13">
      <c r="A292" s="14">
        <f>A245+1</f>
        <v>6</v>
      </c>
      <c r="B292" s="14" t="str">
        <f>"TR" &amp; TEXT(A292,"##000")</f>
        <v>TR006</v>
      </c>
      <c r="C292" s="14">
        <f>+C245+1</f>
        <v>6</v>
      </c>
      <c r="D292" s="18"/>
      <c r="E292" s="591" t="s">
        <v>2304</v>
      </c>
      <c r="F292" s="592"/>
      <c r="G292" s="592"/>
      <c r="H292" s="592"/>
      <c r="I292" s="327"/>
      <c r="J292" s="308">
        <f>+J291</f>
        <v>579.32148501688494</v>
      </c>
      <c r="K292" s="365" t="str">
        <f>+F251</f>
        <v>m3</v>
      </c>
      <c r="L292" s="20"/>
    </row>
    <row r="293" spans="1:13" ht="16.5" thickBot="1">
      <c r="D293" s="21"/>
      <c r="E293" s="30"/>
      <c r="F293" s="30"/>
      <c r="G293" s="30"/>
      <c r="H293" s="30"/>
      <c r="I293" s="30"/>
      <c r="J293" s="30"/>
      <c r="K293" s="349"/>
      <c r="L293" s="22"/>
    </row>
    <row r="294" spans="1:13" ht="16.5" thickTop="1">
      <c r="D294" s="15"/>
      <c r="E294" s="16"/>
      <c r="F294" s="16"/>
      <c r="G294" s="16"/>
      <c r="H294" s="16"/>
      <c r="I294" s="16"/>
      <c r="J294" s="16"/>
      <c r="K294" s="16"/>
      <c r="L294" s="17"/>
    </row>
    <row r="295" spans="1:13">
      <c r="A295" s="14" t="s">
        <v>1820</v>
      </c>
      <c r="D295" s="18"/>
      <c r="E295" s="23" t="s">
        <v>95</v>
      </c>
      <c r="F295" s="24" t="str">
        <f>VLOOKUP($A295,DATRUB,3,FALSE)</f>
        <v>RUBRO II:</v>
      </c>
      <c r="G295" s="599" t="str">
        <f>VLOOKUP($A295,DATRUB,4,FALSE)</f>
        <v xml:space="preserve"> MOVIMIENTO de SUELOS</v>
      </c>
      <c r="H295" s="599"/>
      <c r="I295" s="599"/>
      <c r="J295" s="599"/>
      <c r="K295" s="599"/>
      <c r="L295" s="20"/>
    </row>
    <row r="296" spans="1:13" ht="35.1" customHeight="1">
      <c r="A296" s="14" t="s">
        <v>1822</v>
      </c>
      <c r="D296" s="18"/>
      <c r="E296" s="23" t="s">
        <v>96</v>
      </c>
      <c r="F296" s="399">
        <f>VLOOKUP($A296,DATRUB,3,FALSE)</f>
        <v>2.2000000000000002</v>
      </c>
      <c r="G296" s="599" t="str">
        <f>VLOOKUP($A296,DATRUB,4,FALSE)</f>
        <v>Excavacion para Fundaciones</v>
      </c>
      <c r="H296" s="599"/>
      <c r="I296" s="599"/>
      <c r="J296" s="599"/>
      <c r="K296" s="599"/>
      <c r="L296" s="20"/>
    </row>
    <row r="297" spans="1:13" ht="35.1" customHeight="1">
      <c r="A297" s="14" t="s">
        <v>1822</v>
      </c>
      <c r="D297" s="18"/>
      <c r="E297" s="23" t="s">
        <v>97</v>
      </c>
      <c r="F297" s="399">
        <f>VLOOKUP($A297,DATRUB,3,FALSE)</f>
        <v>2.2000000000000002</v>
      </c>
      <c r="G297" s="599" t="str">
        <f>VLOOKUP($A297,DATRUB,4,FALSE)</f>
        <v>Excavacion para Fundaciones</v>
      </c>
      <c r="H297" s="599"/>
      <c r="I297" s="599"/>
      <c r="J297" s="599"/>
      <c r="K297" s="599"/>
      <c r="L297" s="20"/>
    </row>
    <row r="298" spans="1:13">
      <c r="D298" s="18"/>
      <c r="E298" s="23" t="s">
        <v>98</v>
      </c>
      <c r="F298" s="24" t="str">
        <f>VLOOKUP($A297,DATRUB,5,FALSE)</f>
        <v>m3</v>
      </c>
      <c r="G298" s="600"/>
      <c r="H298" s="600"/>
      <c r="I298" s="600"/>
      <c r="J298" s="600"/>
      <c r="K298" s="600"/>
      <c r="L298" s="20"/>
    </row>
    <row r="299" spans="1:13">
      <c r="D299" s="18"/>
      <c r="E299" s="24" t="s">
        <v>1158</v>
      </c>
      <c r="F299" s="25" t="s">
        <v>1250</v>
      </c>
      <c r="G299" s="24" t="s">
        <v>24</v>
      </c>
      <c r="H299" s="24" t="s">
        <v>25</v>
      </c>
      <c r="I299" s="24" t="s">
        <v>24</v>
      </c>
      <c r="J299" s="24" t="s">
        <v>2298</v>
      </c>
      <c r="K299" s="24" t="s">
        <v>24</v>
      </c>
      <c r="L299" s="20"/>
    </row>
    <row r="300" spans="1:13">
      <c r="D300" s="18"/>
      <c r="E300" s="593" t="s">
        <v>99</v>
      </c>
      <c r="F300" s="594"/>
      <c r="G300" s="594"/>
      <c r="H300" s="594"/>
      <c r="I300" s="594"/>
      <c r="J300" s="594"/>
      <c r="K300" s="595"/>
      <c r="L300" s="20"/>
    </row>
    <row r="301" spans="1:13">
      <c r="A301" s="14" t="s">
        <v>31</v>
      </c>
      <c r="D301" s="18">
        <v>1</v>
      </c>
      <c r="E301" s="355" t="str">
        <f t="shared" ref="E301:E320" si="54">VLOOKUP($A301,MATMO,2,FALSE)</f>
        <v>-</v>
      </c>
      <c r="F301" s="356"/>
      <c r="G301" s="357" t="str">
        <f t="shared" ref="G301:G320" si="55">VLOOKUP($A301,MATMO,3,FALSE)</f>
        <v>-</v>
      </c>
      <c r="H301" s="358">
        <f t="shared" ref="H301:H320" si="56">VLOOKUP($A301,MATMO,4,FALSE)*$Q$6</f>
        <v>0</v>
      </c>
      <c r="I301" s="544" t="str">
        <f t="shared" ref="I301:I320" si="57">+G301</f>
        <v>-</v>
      </c>
      <c r="J301" s="545">
        <f>+H301*F301</f>
        <v>0</v>
      </c>
      <c r="K301" s="539" t="s">
        <v>2299</v>
      </c>
      <c r="L301" s="20"/>
      <c r="M301" s="14" t="s">
        <v>2005</v>
      </c>
    </row>
    <row r="302" spans="1:13">
      <c r="A302" s="14" t="s">
        <v>31</v>
      </c>
      <c r="D302" s="18">
        <v>2</v>
      </c>
      <c r="E302" s="26" t="str">
        <f t="shared" si="54"/>
        <v>-</v>
      </c>
      <c r="F302" s="311"/>
      <c r="G302" s="307" t="str">
        <f t="shared" si="55"/>
        <v>-</v>
      </c>
      <c r="H302" s="351">
        <f t="shared" si="56"/>
        <v>0</v>
      </c>
      <c r="I302" s="537" t="str">
        <f t="shared" si="57"/>
        <v>-</v>
      </c>
      <c r="J302" s="538">
        <f t="shared" ref="J302:J320" si="58">+H302*F302</f>
        <v>0</v>
      </c>
      <c r="K302" s="539" t="s">
        <v>2299</v>
      </c>
      <c r="L302" s="20"/>
    </row>
    <row r="303" spans="1:13">
      <c r="A303" s="14" t="s">
        <v>31</v>
      </c>
      <c r="D303" s="18">
        <v>3</v>
      </c>
      <c r="E303" s="26" t="str">
        <f t="shared" si="54"/>
        <v>-</v>
      </c>
      <c r="F303" s="311"/>
      <c r="G303" s="307" t="str">
        <f t="shared" si="55"/>
        <v>-</v>
      </c>
      <c r="H303" s="351">
        <f t="shared" si="56"/>
        <v>0</v>
      </c>
      <c r="I303" s="537" t="str">
        <f t="shared" si="57"/>
        <v>-</v>
      </c>
      <c r="J303" s="538">
        <f t="shared" si="58"/>
        <v>0</v>
      </c>
      <c r="K303" s="539" t="s">
        <v>2299</v>
      </c>
      <c r="L303" s="20"/>
    </row>
    <row r="304" spans="1:13">
      <c r="A304" s="14" t="s">
        <v>31</v>
      </c>
      <c r="D304" s="18">
        <v>4</v>
      </c>
      <c r="E304" s="26" t="str">
        <f t="shared" si="54"/>
        <v>-</v>
      </c>
      <c r="F304" s="311"/>
      <c r="G304" s="307" t="str">
        <f t="shared" si="55"/>
        <v>-</v>
      </c>
      <c r="H304" s="351">
        <f t="shared" si="56"/>
        <v>0</v>
      </c>
      <c r="I304" s="537" t="str">
        <f t="shared" si="57"/>
        <v>-</v>
      </c>
      <c r="J304" s="538">
        <f t="shared" si="58"/>
        <v>0</v>
      </c>
      <c r="K304" s="539" t="s">
        <v>2299</v>
      </c>
      <c r="L304" s="20"/>
    </row>
    <row r="305" spans="1:12">
      <c r="A305" s="14" t="s">
        <v>31</v>
      </c>
      <c r="D305" s="18">
        <v>5</v>
      </c>
      <c r="E305" s="26" t="str">
        <f t="shared" si="54"/>
        <v>-</v>
      </c>
      <c r="F305" s="311"/>
      <c r="G305" s="307" t="str">
        <f t="shared" si="55"/>
        <v>-</v>
      </c>
      <c r="H305" s="351">
        <f t="shared" si="56"/>
        <v>0</v>
      </c>
      <c r="I305" s="537" t="str">
        <f t="shared" si="57"/>
        <v>-</v>
      </c>
      <c r="J305" s="538">
        <f t="shared" si="58"/>
        <v>0</v>
      </c>
      <c r="K305" s="539" t="s">
        <v>2299</v>
      </c>
      <c r="L305" s="20"/>
    </row>
    <row r="306" spans="1:12">
      <c r="A306" s="14" t="s">
        <v>31</v>
      </c>
      <c r="D306" s="18">
        <v>6</v>
      </c>
      <c r="E306" s="26" t="str">
        <f t="shared" si="54"/>
        <v>-</v>
      </c>
      <c r="F306" s="311"/>
      <c r="G306" s="307" t="str">
        <f t="shared" si="55"/>
        <v>-</v>
      </c>
      <c r="H306" s="351">
        <f t="shared" si="56"/>
        <v>0</v>
      </c>
      <c r="I306" s="537" t="str">
        <f t="shared" si="57"/>
        <v>-</v>
      </c>
      <c r="J306" s="538">
        <f t="shared" si="58"/>
        <v>0</v>
      </c>
      <c r="K306" s="539" t="s">
        <v>2299</v>
      </c>
      <c r="L306" s="20"/>
    </row>
    <row r="307" spans="1:12">
      <c r="A307" s="14" t="s">
        <v>31</v>
      </c>
      <c r="D307" s="18">
        <v>7</v>
      </c>
      <c r="E307" s="26" t="str">
        <f t="shared" si="54"/>
        <v>-</v>
      </c>
      <c r="F307" s="311"/>
      <c r="G307" s="307" t="str">
        <f t="shared" si="55"/>
        <v>-</v>
      </c>
      <c r="H307" s="351">
        <f t="shared" si="56"/>
        <v>0</v>
      </c>
      <c r="I307" s="537" t="str">
        <f t="shared" si="57"/>
        <v>-</v>
      </c>
      <c r="J307" s="538">
        <f t="shared" si="58"/>
        <v>0</v>
      </c>
      <c r="K307" s="539" t="s">
        <v>2299</v>
      </c>
      <c r="L307" s="20"/>
    </row>
    <row r="308" spans="1:12">
      <c r="A308" s="14" t="s">
        <v>31</v>
      </c>
      <c r="D308" s="18">
        <v>8</v>
      </c>
      <c r="E308" s="26" t="str">
        <f t="shared" si="54"/>
        <v>-</v>
      </c>
      <c r="F308" s="311"/>
      <c r="G308" s="307" t="str">
        <f t="shared" si="55"/>
        <v>-</v>
      </c>
      <c r="H308" s="351">
        <f t="shared" si="56"/>
        <v>0</v>
      </c>
      <c r="I308" s="537" t="str">
        <f t="shared" si="57"/>
        <v>-</v>
      </c>
      <c r="J308" s="538">
        <f t="shared" si="58"/>
        <v>0</v>
      </c>
      <c r="K308" s="539" t="s">
        <v>2299</v>
      </c>
      <c r="L308" s="20"/>
    </row>
    <row r="309" spans="1:12">
      <c r="A309" s="14" t="s">
        <v>31</v>
      </c>
      <c r="D309" s="18">
        <v>9</v>
      </c>
      <c r="E309" s="26" t="str">
        <f t="shared" si="54"/>
        <v>-</v>
      </c>
      <c r="F309" s="311"/>
      <c r="G309" s="307" t="str">
        <f t="shared" si="55"/>
        <v>-</v>
      </c>
      <c r="H309" s="351">
        <f t="shared" si="56"/>
        <v>0</v>
      </c>
      <c r="I309" s="537" t="str">
        <f t="shared" si="57"/>
        <v>-</v>
      </c>
      <c r="J309" s="538">
        <f t="shared" si="58"/>
        <v>0</v>
      </c>
      <c r="K309" s="539" t="s">
        <v>2299</v>
      </c>
      <c r="L309" s="20"/>
    </row>
    <row r="310" spans="1:12">
      <c r="A310" s="14" t="s">
        <v>31</v>
      </c>
      <c r="D310" s="18">
        <v>10</v>
      </c>
      <c r="E310" s="26" t="str">
        <f t="shared" si="54"/>
        <v>-</v>
      </c>
      <c r="F310" s="311"/>
      <c r="G310" s="307" t="str">
        <f t="shared" si="55"/>
        <v>-</v>
      </c>
      <c r="H310" s="351">
        <f t="shared" si="56"/>
        <v>0</v>
      </c>
      <c r="I310" s="537" t="str">
        <f t="shared" si="57"/>
        <v>-</v>
      </c>
      <c r="J310" s="538">
        <f t="shared" si="58"/>
        <v>0</v>
      </c>
      <c r="K310" s="539" t="s">
        <v>2299</v>
      </c>
      <c r="L310" s="20"/>
    </row>
    <row r="311" spans="1:12">
      <c r="A311" s="14" t="s">
        <v>31</v>
      </c>
      <c r="D311" s="18">
        <v>11</v>
      </c>
      <c r="E311" s="26" t="str">
        <f t="shared" si="54"/>
        <v>-</v>
      </c>
      <c r="F311" s="311"/>
      <c r="G311" s="307" t="str">
        <f t="shared" si="55"/>
        <v>-</v>
      </c>
      <c r="H311" s="351">
        <f t="shared" si="56"/>
        <v>0</v>
      </c>
      <c r="I311" s="537" t="str">
        <f t="shared" si="57"/>
        <v>-</v>
      </c>
      <c r="J311" s="538">
        <f t="shared" si="58"/>
        <v>0</v>
      </c>
      <c r="K311" s="539" t="s">
        <v>2299</v>
      </c>
      <c r="L311" s="20"/>
    </row>
    <row r="312" spans="1:12">
      <c r="A312" s="14" t="s">
        <v>31</v>
      </c>
      <c r="D312" s="18">
        <v>12</v>
      </c>
      <c r="E312" s="26" t="str">
        <f t="shared" si="54"/>
        <v>-</v>
      </c>
      <c r="F312" s="311"/>
      <c r="G312" s="307" t="str">
        <f t="shared" si="55"/>
        <v>-</v>
      </c>
      <c r="H312" s="352">
        <f t="shared" si="56"/>
        <v>0</v>
      </c>
      <c r="I312" s="537" t="str">
        <f t="shared" si="57"/>
        <v>-</v>
      </c>
      <c r="J312" s="538">
        <f t="shared" si="58"/>
        <v>0</v>
      </c>
      <c r="K312" s="539" t="s">
        <v>2299</v>
      </c>
      <c r="L312" s="20"/>
    </row>
    <row r="313" spans="1:12">
      <c r="A313" s="14" t="s">
        <v>31</v>
      </c>
      <c r="D313" s="18">
        <v>13</v>
      </c>
      <c r="E313" s="26" t="str">
        <f t="shared" si="54"/>
        <v>-</v>
      </c>
      <c r="F313" s="311"/>
      <c r="G313" s="307" t="str">
        <f t="shared" si="55"/>
        <v>-</v>
      </c>
      <c r="H313" s="352">
        <f t="shared" si="56"/>
        <v>0</v>
      </c>
      <c r="I313" s="537" t="str">
        <f t="shared" si="57"/>
        <v>-</v>
      </c>
      <c r="J313" s="538">
        <f t="shared" si="58"/>
        <v>0</v>
      </c>
      <c r="K313" s="539" t="s">
        <v>2299</v>
      </c>
      <c r="L313" s="20"/>
    </row>
    <row r="314" spans="1:12">
      <c r="A314" s="14" t="s">
        <v>31</v>
      </c>
      <c r="D314" s="18">
        <v>14</v>
      </c>
      <c r="E314" s="26" t="str">
        <f t="shared" si="54"/>
        <v>-</v>
      </c>
      <c r="F314" s="311"/>
      <c r="G314" s="307" t="str">
        <f t="shared" si="55"/>
        <v>-</v>
      </c>
      <c r="H314" s="352">
        <f t="shared" si="56"/>
        <v>0</v>
      </c>
      <c r="I314" s="537" t="str">
        <f t="shared" si="57"/>
        <v>-</v>
      </c>
      <c r="J314" s="538">
        <f t="shared" si="58"/>
        <v>0</v>
      </c>
      <c r="K314" s="539" t="s">
        <v>2299</v>
      </c>
      <c r="L314" s="20"/>
    </row>
    <row r="315" spans="1:12">
      <c r="A315" s="14" t="s">
        <v>31</v>
      </c>
      <c r="D315" s="18">
        <v>15</v>
      </c>
      <c r="E315" s="26" t="str">
        <f t="shared" si="54"/>
        <v>-</v>
      </c>
      <c r="F315" s="311"/>
      <c r="G315" s="307" t="str">
        <f t="shared" si="55"/>
        <v>-</v>
      </c>
      <c r="H315" s="352">
        <f t="shared" si="56"/>
        <v>0</v>
      </c>
      <c r="I315" s="537" t="str">
        <f t="shared" si="57"/>
        <v>-</v>
      </c>
      <c r="J315" s="538">
        <f t="shared" si="58"/>
        <v>0</v>
      </c>
      <c r="K315" s="539" t="s">
        <v>2299</v>
      </c>
      <c r="L315" s="20"/>
    </row>
    <row r="316" spans="1:12">
      <c r="A316" s="14" t="s">
        <v>31</v>
      </c>
      <c r="D316" s="18">
        <v>16</v>
      </c>
      <c r="E316" s="26" t="str">
        <f t="shared" si="54"/>
        <v>-</v>
      </c>
      <c r="F316" s="311"/>
      <c r="G316" s="307" t="str">
        <f t="shared" si="55"/>
        <v>-</v>
      </c>
      <c r="H316" s="352">
        <f t="shared" si="56"/>
        <v>0</v>
      </c>
      <c r="I316" s="537" t="str">
        <f t="shared" si="57"/>
        <v>-</v>
      </c>
      <c r="J316" s="538">
        <f t="shared" si="58"/>
        <v>0</v>
      </c>
      <c r="K316" s="539" t="s">
        <v>2299</v>
      </c>
      <c r="L316" s="20"/>
    </row>
    <row r="317" spans="1:12">
      <c r="A317" s="14" t="s">
        <v>31</v>
      </c>
      <c r="D317" s="18">
        <v>17</v>
      </c>
      <c r="E317" s="26" t="str">
        <f t="shared" si="54"/>
        <v>-</v>
      </c>
      <c r="F317" s="311"/>
      <c r="G317" s="307" t="str">
        <f t="shared" si="55"/>
        <v>-</v>
      </c>
      <c r="H317" s="352">
        <f t="shared" si="56"/>
        <v>0</v>
      </c>
      <c r="I317" s="537" t="str">
        <f t="shared" si="57"/>
        <v>-</v>
      </c>
      <c r="J317" s="538">
        <f t="shared" si="58"/>
        <v>0</v>
      </c>
      <c r="K317" s="539" t="s">
        <v>2299</v>
      </c>
      <c r="L317" s="20"/>
    </row>
    <row r="318" spans="1:12">
      <c r="A318" s="14" t="s">
        <v>31</v>
      </c>
      <c r="D318" s="18">
        <v>18</v>
      </c>
      <c r="E318" s="26" t="str">
        <f t="shared" si="54"/>
        <v>-</v>
      </c>
      <c r="F318" s="311"/>
      <c r="G318" s="307" t="str">
        <f t="shared" si="55"/>
        <v>-</v>
      </c>
      <c r="H318" s="352">
        <f t="shared" si="56"/>
        <v>0</v>
      </c>
      <c r="I318" s="537" t="str">
        <f t="shared" si="57"/>
        <v>-</v>
      </c>
      <c r="J318" s="538">
        <f t="shared" si="58"/>
        <v>0</v>
      </c>
      <c r="K318" s="539" t="s">
        <v>2299</v>
      </c>
      <c r="L318" s="20"/>
    </row>
    <row r="319" spans="1:12">
      <c r="A319" s="14" t="s">
        <v>31</v>
      </c>
      <c r="D319" s="18">
        <v>19</v>
      </c>
      <c r="E319" s="26" t="str">
        <f t="shared" si="54"/>
        <v>-</v>
      </c>
      <c r="F319" s="311"/>
      <c r="G319" s="307" t="str">
        <f t="shared" si="55"/>
        <v>-</v>
      </c>
      <c r="H319" s="352">
        <f t="shared" si="56"/>
        <v>0</v>
      </c>
      <c r="I319" s="537" t="str">
        <f t="shared" si="57"/>
        <v>-</v>
      </c>
      <c r="J319" s="538">
        <f t="shared" si="58"/>
        <v>0</v>
      </c>
      <c r="K319" s="539" t="s">
        <v>2299</v>
      </c>
      <c r="L319" s="20"/>
    </row>
    <row r="320" spans="1:12">
      <c r="A320" s="14" t="s">
        <v>31</v>
      </c>
      <c r="D320" s="18">
        <v>20</v>
      </c>
      <c r="E320" s="26" t="str">
        <f t="shared" si="54"/>
        <v>-</v>
      </c>
      <c r="F320" s="311"/>
      <c r="G320" s="307" t="str">
        <f t="shared" si="55"/>
        <v>-</v>
      </c>
      <c r="H320" s="352">
        <f t="shared" si="56"/>
        <v>0</v>
      </c>
      <c r="I320" s="537" t="str">
        <f t="shared" si="57"/>
        <v>-</v>
      </c>
      <c r="J320" s="541">
        <f t="shared" si="58"/>
        <v>0</v>
      </c>
      <c r="K320" s="539" t="s">
        <v>2299</v>
      </c>
      <c r="L320" s="20"/>
    </row>
    <row r="321" spans="1:19">
      <c r="A321" s="14">
        <f>A288+1</f>
        <v>7</v>
      </c>
      <c r="B321" s="14" t="str">
        <f>"MA" &amp; TEXT(A321,"##000")</f>
        <v>MA007</v>
      </c>
      <c r="D321" s="18"/>
      <c r="E321" s="591" t="s">
        <v>2302</v>
      </c>
      <c r="F321" s="592"/>
      <c r="G321" s="592"/>
      <c r="H321" s="592"/>
      <c r="I321" s="327"/>
      <c r="J321" s="353">
        <f>SUM(J301:J320)</f>
        <v>0</v>
      </c>
      <c r="K321" s="365" t="str">
        <f>+F298</f>
        <v>m3</v>
      </c>
      <c r="L321" s="20"/>
      <c r="O321" s="27" t="s">
        <v>1525</v>
      </c>
      <c r="P321" s="110">
        <v>110</v>
      </c>
    </row>
    <row r="322" spans="1:19">
      <c r="D322" s="18"/>
      <c r="E322" s="593" t="s">
        <v>100</v>
      </c>
      <c r="F322" s="594"/>
      <c r="G322" s="594"/>
      <c r="H322" s="594"/>
      <c r="I322" s="594"/>
      <c r="J322" s="595"/>
      <c r="K322" s="347"/>
      <c r="L322" s="20"/>
      <c r="O322" s="27" t="s">
        <v>1524</v>
      </c>
      <c r="P322" s="110">
        <v>0</v>
      </c>
    </row>
    <row r="323" spans="1:19">
      <c r="A323" s="14" t="s">
        <v>84</v>
      </c>
      <c r="D323" s="18">
        <v>1</v>
      </c>
      <c r="E323" s="26" t="str">
        <f>VLOOKUP($A323,MATMO,2,FALSE)</f>
        <v>Oficial</v>
      </c>
      <c r="F323" s="311">
        <v>1.4</v>
      </c>
      <c r="G323" s="307" t="str">
        <f>VLOOKUP($A323,MATMO,3,FALSE)</f>
        <v>hs</v>
      </c>
      <c r="H323" s="110">
        <f>VLOOKUP($A323,MATMO,4,FALSE)*$Q$7</f>
        <v>55.38</v>
      </c>
      <c r="I323" s="354" t="str">
        <f t="shared" ref="I323:I327" si="59">+G323</f>
        <v>hs</v>
      </c>
      <c r="J323" s="350">
        <f t="shared" ref="J323:J327" si="60">+H323*F323</f>
        <v>77.531999999999996</v>
      </c>
      <c r="K323" s="360" t="s">
        <v>2299</v>
      </c>
      <c r="L323" s="20"/>
      <c r="M323" s="14" t="s">
        <v>2006</v>
      </c>
      <c r="O323" s="27" t="s">
        <v>1526</v>
      </c>
      <c r="P323" s="110">
        <v>0</v>
      </c>
    </row>
    <row r="324" spans="1:19">
      <c r="A324" s="14" t="s">
        <v>85</v>
      </c>
      <c r="D324" s="18">
        <v>2</v>
      </c>
      <c r="E324" s="26" t="str">
        <f>VLOOKUP($A324,MATMO,2,FALSE)</f>
        <v>Ayudante</v>
      </c>
      <c r="F324" s="311">
        <v>0.6</v>
      </c>
      <c r="G324" s="307" t="str">
        <f>VLOOKUP($A324,MATMO,3,FALSE)</f>
        <v>hs</v>
      </c>
      <c r="H324" s="110">
        <f>VLOOKUP($A324,MATMO,4,FALSE)*$Q$7</f>
        <v>46.87</v>
      </c>
      <c r="I324" s="354" t="str">
        <f t="shared" si="59"/>
        <v>hs</v>
      </c>
      <c r="J324" s="350">
        <f t="shared" si="60"/>
        <v>28.121999999999996</v>
      </c>
      <c r="K324" s="360" t="s">
        <v>2299</v>
      </c>
      <c r="L324" s="20"/>
      <c r="O324" s="27" t="s">
        <v>1527</v>
      </c>
      <c r="P324" s="110">
        <v>0</v>
      </c>
    </row>
    <row r="325" spans="1:19">
      <c r="A325" s="14" t="s">
        <v>2311</v>
      </c>
      <c r="D325" s="18">
        <v>3</v>
      </c>
      <c r="E325" s="26" t="str">
        <f>VLOOKUP($A325,MATMO,2,FALSE)</f>
        <v>Cargas Sociales Oficial</v>
      </c>
      <c r="F325" s="311">
        <f>+F323</f>
        <v>1.4</v>
      </c>
      <c r="G325" s="307" t="str">
        <f>VLOOKUP($A325,MATMO,3,FALSE)</f>
        <v>hs</v>
      </c>
      <c r="H325" s="110">
        <f>VLOOKUP($A325,MATMO,4,FALSE)*$Q$7</f>
        <v>52.742782499999997</v>
      </c>
      <c r="I325" s="354" t="str">
        <f t="shared" si="59"/>
        <v>hs</v>
      </c>
      <c r="J325" s="350">
        <f t="shared" si="60"/>
        <v>73.839895499999997</v>
      </c>
      <c r="K325" s="360" t="s">
        <v>2299</v>
      </c>
      <c r="L325" s="20"/>
      <c r="O325" s="27"/>
      <c r="P325" s="110">
        <v>0</v>
      </c>
    </row>
    <row r="326" spans="1:19">
      <c r="A326" s="14" t="s">
        <v>2312</v>
      </c>
      <c r="D326" s="18">
        <v>4</v>
      </c>
      <c r="E326" s="26" t="str">
        <f>VLOOKUP($A326,MATMO,2,FALSE)</f>
        <v>Cargas Sociales Ayudante</v>
      </c>
      <c r="F326" s="311">
        <f>+F324</f>
        <v>0.6</v>
      </c>
      <c r="G326" s="307" t="str">
        <f>VLOOKUP($A326,MATMO,3,FALSE)</f>
        <v>hs</v>
      </c>
      <c r="H326" s="110">
        <f>VLOOKUP($A326,MATMO,4,FALSE)*$Q$7</f>
        <v>45.108248750000001</v>
      </c>
      <c r="I326" s="354" t="str">
        <f t="shared" si="59"/>
        <v>hs</v>
      </c>
      <c r="J326" s="350">
        <f t="shared" si="60"/>
        <v>27.064949250000002</v>
      </c>
      <c r="K326" s="360" t="s">
        <v>2299</v>
      </c>
      <c r="L326" s="20"/>
      <c r="O326" s="27"/>
      <c r="P326" s="110">
        <v>0</v>
      </c>
    </row>
    <row r="327" spans="1:19" ht="16.5" thickBot="1">
      <c r="A327" s="14" t="s">
        <v>83</v>
      </c>
      <c r="D327" s="18">
        <v>5</v>
      </c>
      <c r="E327" s="26" t="str">
        <f>VLOOKUP($A327,MATMO,2,FALSE)</f>
        <v>-</v>
      </c>
      <c r="F327" s="311"/>
      <c r="G327" s="307" t="str">
        <f>VLOOKUP($A327,MATMO,3,FALSE)</f>
        <v>-</v>
      </c>
      <c r="H327" s="110">
        <f>VLOOKUP($A327,MATMO,4,FALSE)*$Q$7</f>
        <v>0</v>
      </c>
      <c r="I327" s="537" t="str">
        <f t="shared" si="59"/>
        <v>-</v>
      </c>
      <c r="J327" s="538">
        <f t="shared" si="60"/>
        <v>0</v>
      </c>
      <c r="K327" s="539" t="s">
        <v>2299</v>
      </c>
      <c r="L327" s="20"/>
      <c r="O327" s="27"/>
      <c r="P327" s="110">
        <v>0</v>
      </c>
      <c r="R327" s="29" t="s">
        <v>2307</v>
      </c>
    </row>
    <row r="328" spans="1:19" ht="16.5" thickBot="1">
      <c r="A328" s="14">
        <f>A288+1</f>
        <v>7</v>
      </c>
      <c r="B328" s="14" t="str">
        <f>"MO" &amp; TEXT(A328,"##000")</f>
        <v>MO007</v>
      </c>
      <c r="D328" s="18"/>
      <c r="E328" s="591" t="s">
        <v>2301</v>
      </c>
      <c r="F328" s="592"/>
      <c r="G328" s="592"/>
      <c r="H328" s="592"/>
      <c r="I328" s="327"/>
      <c r="J328" s="362">
        <f>SUM(J323:J327)</f>
        <v>206.55884475000002</v>
      </c>
      <c r="K328" s="365" t="str">
        <f>+G323</f>
        <v>hs</v>
      </c>
      <c r="L328" s="20"/>
      <c r="N328" s="111">
        <f>+P328+R328</f>
        <v>209</v>
      </c>
      <c r="O328" s="27"/>
      <c r="P328" s="27">
        <f>SUM(P321:P327)</f>
        <v>110</v>
      </c>
      <c r="Q328" s="26">
        <v>0.9</v>
      </c>
      <c r="R328" s="287">
        <f>+Q328*P328</f>
        <v>99</v>
      </c>
      <c r="S328" s="288"/>
    </row>
    <row r="329" spans="1:19">
      <c r="D329" s="18"/>
      <c r="E329" s="593" t="s">
        <v>101</v>
      </c>
      <c r="F329" s="594"/>
      <c r="G329" s="594"/>
      <c r="H329" s="594"/>
      <c r="I329" s="594"/>
      <c r="J329" s="595"/>
      <c r="K329" s="347"/>
      <c r="L329" s="20"/>
      <c r="P329" s="14" t="s">
        <v>2308</v>
      </c>
    </row>
    <row r="330" spans="1:19">
      <c r="A330" s="14" t="s">
        <v>119</v>
      </c>
      <c r="D330" s="18">
        <v>1</v>
      </c>
      <c r="E330" s="26" t="str">
        <f>VLOOKUP($A330,MATMO,2,FALSE)</f>
        <v>Herramientas de Mano</v>
      </c>
      <c r="F330" s="311">
        <v>1</v>
      </c>
      <c r="G330" s="307" t="str">
        <f>VLOOKUP($A330,MATMO,3,FALSE)</f>
        <v>gl</v>
      </c>
      <c r="H330" s="110">
        <f>+(J321+J328)*$Q$5</f>
        <v>8.2623537900000006</v>
      </c>
      <c r="I330" s="345" t="str">
        <f>+G330</f>
        <v>gl</v>
      </c>
      <c r="J330" s="350">
        <f t="shared" ref="J330:J334" si="61">+H330*F330</f>
        <v>8.2623537900000006</v>
      </c>
      <c r="K330" s="360" t="s">
        <v>2299</v>
      </c>
      <c r="L330" s="20"/>
      <c r="M330" s="14" t="s">
        <v>2004</v>
      </c>
    </row>
    <row r="331" spans="1:19">
      <c r="A331" s="14" t="s">
        <v>134</v>
      </c>
      <c r="D331" s="18">
        <v>2</v>
      </c>
      <c r="E331" s="26" t="str">
        <f>VLOOKUP($A331,MATMO,2,FALSE)</f>
        <v>Retroexcavadora</v>
      </c>
      <c r="F331" s="311">
        <v>0.05</v>
      </c>
      <c r="G331" s="307" t="str">
        <f>VLOOKUP($A331,MATMO,3,FALSE)</f>
        <v>hs</v>
      </c>
      <c r="H331" s="110">
        <f>VLOOKUP($A331,MATMO,4,FALSE)*$Q$6</f>
        <v>450</v>
      </c>
      <c r="I331" s="345" t="str">
        <f t="shared" ref="I331:I334" si="62">+G331</f>
        <v>hs</v>
      </c>
      <c r="J331" s="350">
        <f t="shared" si="61"/>
        <v>22.5</v>
      </c>
      <c r="K331" s="360" t="s">
        <v>2299</v>
      </c>
      <c r="L331" s="20"/>
    </row>
    <row r="332" spans="1:19">
      <c r="A332" s="14" t="s">
        <v>118</v>
      </c>
      <c r="D332" s="18">
        <v>3</v>
      </c>
      <c r="E332" s="26" t="str">
        <f>VLOOKUP($A332,MATMO,2,FALSE)</f>
        <v>-</v>
      </c>
      <c r="F332" s="311"/>
      <c r="G332" s="307" t="str">
        <f>VLOOKUP($A332,MATMO,3,FALSE)</f>
        <v>-</v>
      </c>
      <c r="H332" s="110">
        <f>VLOOKUP($A332,MATMO,4,FALSE)*$Q$6</f>
        <v>0</v>
      </c>
      <c r="I332" s="543" t="str">
        <f t="shared" si="62"/>
        <v>-</v>
      </c>
      <c r="J332" s="538">
        <f t="shared" si="61"/>
        <v>0</v>
      </c>
      <c r="K332" s="539" t="s">
        <v>2299</v>
      </c>
      <c r="L332" s="20"/>
    </row>
    <row r="333" spans="1:19">
      <c r="A333" s="14" t="s">
        <v>118</v>
      </c>
      <c r="D333" s="18">
        <v>4</v>
      </c>
      <c r="E333" s="26" t="str">
        <f>VLOOKUP($A333,MATMO,2,FALSE)</f>
        <v>-</v>
      </c>
      <c r="F333" s="311"/>
      <c r="G333" s="307" t="str">
        <f>VLOOKUP($A333,MATMO,3,FALSE)</f>
        <v>-</v>
      </c>
      <c r="H333" s="110">
        <f>VLOOKUP($A333,MATMO,4,FALSE)*$Q$6</f>
        <v>0</v>
      </c>
      <c r="I333" s="543" t="str">
        <f t="shared" si="62"/>
        <v>-</v>
      </c>
      <c r="J333" s="538">
        <f t="shared" si="61"/>
        <v>0</v>
      </c>
      <c r="K333" s="539" t="s">
        <v>2299</v>
      </c>
      <c r="L333" s="20"/>
    </row>
    <row r="334" spans="1:19">
      <c r="A334" s="14" t="s">
        <v>118</v>
      </c>
      <c r="D334" s="18">
        <v>5</v>
      </c>
      <c r="E334" s="26" t="str">
        <f>VLOOKUP($A334,MATMO,2,FALSE)</f>
        <v>-</v>
      </c>
      <c r="F334" s="311"/>
      <c r="G334" s="307" t="str">
        <f>VLOOKUP($A334,MATMO,3,FALSE)</f>
        <v>-</v>
      </c>
      <c r="H334" s="110">
        <f>VLOOKUP($A334,MATMO,4,FALSE)*$Q$6</f>
        <v>0</v>
      </c>
      <c r="I334" s="543" t="str">
        <f t="shared" si="62"/>
        <v>-</v>
      </c>
      <c r="J334" s="538">
        <f t="shared" si="61"/>
        <v>0</v>
      </c>
      <c r="K334" s="539" t="s">
        <v>2299</v>
      </c>
      <c r="L334" s="20"/>
    </row>
    <row r="335" spans="1:19">
      <c r="A335" s="14">
        <f>A288+1</f>
        <v>7</v>
      </c>
      <c r="B335" s="14" t="str">
        <f>"E" &amp; TEXT(A335,"##000")</f>
        <v>E007</v>
      </c>
      <c r="D335" s="18"/>
      <c r="E335" s="591" t="s">
        <v>2300</v>
      </c>
      <c r="F335" s="592"/>
      <c r="G335" s="592"/>
      <c r="H335" s="592"/>
      <c r="I335" s="327"/>
      <c r="J335" s="362">
        <f>SUM(J330:J334)</f>
        <v>30.762353789999999</v>
      </c>
      <c r="K335" s="365" t="s">
        <v>116</v>
      </c>
      <c r="L335" s="20"/>
    </row>
    <row r="336" spans="1:19">
      <c r="D336" s="18"/>
      <c r="E336" s="596"/>
      <c r="F336" s="597"/>
      <c r="G336" s="597"/>
      <c r="H336" s="597"/>
      <c r="I336" s="597"/>
      <c r="J336" s="598"/>
      <c r="K336" s="348"/>
      <c r="L336" s="20"/>
    </row>
    <row r="337" spans="1:13">
      <c r="D337" s="18"/>
      <c r="E337" s="591" t="s">
        <v>2306</v>
      </c>
      <c r="F337" s="592"/>
      <c r="G337" s="592"/>
      <c r="H337" s="592"/>
      <c r="I337" s="327"/>
      <c r="J337" s="308">
        <f>+J335+J328+J321</f>
        <v>237.32119854000001</v>
      </c>
      <c r="K337" s="365" t="str">
        <f>+F298</f>
        <v>m3</v>
      </c>
      <c r="L337" s="20"/>
    </row>
    <row r="338" spans="1:13">
      <c r="D338" s="18"/>
      <c r="E338" s="591" t="s">
        <v>2305</v>
      </c>
      <c r="F338" s="592"/>
      <c r="G338" s="592"/>
      <c r="H338" s="592"/>
      <c r="I338" s="406">
        <f>+$Q$9</f>
        <v>1.6902999999999999</v>
      </c>
      <c r="J338" s="308">
        <f>+$Q$9*J337</f>
        <v>401.14402189216202</v>
      </c>
      <c r="K338" s="365" t="str">
        <f>+F298</f>
        <v>m3</v>
      </c>
      <c r="L338" s="20"/>
    </row>
    <row r="339" spans="1:13">
      <c r="A339" s="14">
        <f>A292+1</f>
        <v>7</v>
      </c>
      <c r="B339" s="14" t="str">
        <f>"TR" &amp; TEXT(A339,"##000")</f>
        <v>TR007</v>
      </c>
      <c r="C339" s="14">
        <f>+C292+1</f>
        <v>7</v>
      </c>
      <c r="D339" s="18"/>
      <c r="E339" s="591" t="s">
        <v>2304</v>
      </c>
      <c r="F339" s="592"/>
      <c r="G339" s="592"/>
      <c r="H339" s="592"/>
      <c r="I339" s="327"/>
      <c r="J339" s="308">
        <f>+J338</f>
        <v>401.14402189216202</v>
      </c>
      <c r="K339" s="365" t="str">
        <f>+F298</f>
        <v>m3</v>
      </c>
      <c r="L339" s="20"/>
    </row>
    <row r="340" spans="1:13" ht="16.5" thickBot="1">
      <c r="D340" s="21"/>
      <c r="E340" s="30"/>
      <c r="F340" s="30"/>
      <c r="G340" s="30"/>
      <c r="H340" s="30"/>
      <c r="I340" s="30"/>
      <c r="J340" s="30"/>
      <c r="K340" s="349"/>
      <c r="L340" s="22"/>
    </row>
    <row r="341" spans="1:13" ht="16.5" thickTop="1">
      <c r="D341" s="15"/>
      <c r="E341" s="16"/>
      <c r="F341" s="16"/>
      <c r="G341" s="16"/>
      <c r="H341" s="16"/>
      <c r="I341" s="16"/>
      <c r="J341" s="16"/>
      <c r="K341" s="16"/>
      <c r="L341" s="17"/>
    </row>
    <row r="342" spans="1:13">
      <c r="A342" s="14" t="s">
        <v>1823</v>
      </c>
      <c r="D342" s="18"/>
      <c r="E342" s="23" t="s">
        <v>95</v>
      </c>
      <c r="F342" s="24" t="str">
        <f>VLOOKUP($A342,DATRUB,3,FALSE)</f>
        <v>RUBRO III:</v>
      </c>
      <c r="G342" s="599" t="str">
        <f>VLOOKUP($A342,DATRUB,4,FALSE)</f>
        <v xml:space="preserve"> ESTRUCTURA RESISTENTE</v>
      </c>
      <c r="H342" s="599"/>
      <c r="I342" s="599"/>
      <c r="J342" s="599"/>
      <c r="K342" s="599"/>
      <c r="L342" s="20"/>
    </row>
    <row r="343" spans="1:13" ht="35.1" customHeight="1">
      <c r="A343" s="14" t="s">
        <v>1824</v>
      </c>
      <c r="D343" s="18"/>
      <c r="E343" s="23" t="s">
        <v>96</v>
      </c>
      <c r="F343" s="399">
        <f>VLOOKUP($A343,DATRUB,3,FALSE)</f>
        <v>3.1</v>
      </c>
      <c r="G343" s="599" t="str">
        <f>VLOOKUP($A343,DATRUB,4,FALSE)</f>
        <v>Hormigón de Limpieza</v>
      </c>
      <c r="H343" s="599"/>
      <c r="I343" s="599"/>
      <c r="J343" s="599"/>
      <c r="K343" s="599"/>
      <c r="L343" s="20"/>
    </row>
    <row r="344" spans="1:13" ht="35.1" customHeight="1">
      <c r="A344" s="14" t="s">
        <v>1824</v>
      </c>
      <c r="D344" s="18"/>
      <c r="E344" s="23" t="s">
        <v>97</v>
      </c>
      <c r="F344" s="399">
        <f>VLOOKUP($A344,DATRUB,3,FALSE)</f>
        <v>3.1</v>
      </c>
      <c r="G344" s="599" t="str">
        <f>VLOOKUP($A344,DATRUB,4,FALSE)</f>
        <v>Hormigón de Limpieza</v>
      </c>
      <c r="H344" s="599"/>
      <c r="I344" s="599"/>
      <c r="J344" s="599"/>
      <c r="K344" s="599"/>
      <c r="L344" s="20"/>
    </row>
    <row r="345" spans="1:13">
      <c r="D345" s="18"/>
      <c r="E345" s="23" t="s">
        <v>98</v>
      </c>
      <c r="F345" s="24" t="str">
        <f>VLOOKUP($A344,DATRUB,5,FALSE)</f>
        <v>m3</v>
      </c>
      <c r="G345" s="600"/>
      <c r="H345" s="600"/>
      <c r="I345" s="600"/>
      <c r="J345" s="600"/>
      <c r="K345" s="600"/>
      <c r="L345" s="20"/>
    </row>
    <row r="346" spans="1:13">
      <c r="D346" s="18"/>
      <c r="E346" s="24" t="s">
        <v>1158</v>
      </c>
      <c r="F346" s="25" t="s">
        <v>1250</v>
      </c>
      <c r="G346" s="24" t="s">
        <v>24</v>
      </c>
      <c r="H346" s="24" t="s">
        <v>25</v>
      </c>
      <c r="I346" s="24" t="s">
        <v>24</v>
      </c>
      <c r="J346" s="24" t="s">
        <v>2298</v>
      </c>
      <c r="K346" s="24" t="s">
        <v>24</v>
      </c>
      <c r="L346" s="20"/>
    </row>
    <row r="347" spans="1:13">
      <c r="D347" s="18"/>
      <c r="E347" s="593" t="s">
        <v>99</v>
      </c>
      <c r="F347" s="594"/>
      <c r="G347" s="594"/>
      <c r="H347" s="594"/>
      <c r="I347" s="594"/>
      <c r="J347" s="594"/>
      <c r="K347" s="595"/>
      <c r="L347" s="20"/>
    </row>
    <row r="348" spans="1:13">
      <c r="A348" s="14" t="s">
        <v>2365</v>
      </c>
      <c r="D348" s="18">
        <v>1</v>
      </c>
      <c r="E348" s="355" t="str">
        <f t="shared" ref="E348:E367" si="63">VLOOKUP($A348,MATMO,2,FALSE)</f>
        <v>Cemento Puzolanico</v>
      </c>
      <c r="F348" s="356">
        <v>200</v>
      </c>
      <c r="G348" s="357" t="str">
        <f t="shared" ref="G348:G367" si="64">VLOOKUP($A348,MATMO,3,FALSE)</f>
        <v>kg</v>
      </c>
      <c r="H348" s="358">
        <f t="shared" ref="H348:H367" si="65">VLOOKUP($A348,MATMO,4,FALSE)*$Q$6</f>
        <v>2.0474999999999999</v>
      </c>
      <c r="I348" s="359" t="str">
        <f t="shared" ref="I348:I367" si="66">+G348</f>
        <v>kg</v>
      </c>
      <c r="J348" s="361">
        <f>+H348*F348</f>
        <v>409.5</v>
      </c>
      <c r="K348" s="360" t="s">
        <v>2299</v>
      </c>
      <c r="L348" s="20"/>
      <c r="M348" s="14" t="s">
        <v>2005</v>
      </c>
    </row>
    <row r="349" spans="1:13">
      <c r="A349" s="14" t="s">
        <v>2366</v>
      </c>
      <c r="D349" s="18">
        <v>2</v>
      </c>
      <c r="E349" s="26" t="str">
        <f t="shared" si="63"/>
        <v>Arena</v>
      </c>
      <c r="F349" s="311">
        <v>0.7</v>
      </c>
      <c r="G349" s="307" t="str">
        <f t="shared" si="64"/>
        <v>m³</v>
      </c>
      <c r="H349" s="351">
        <f t="shared" si="65"/>
        <v>170</v>
      </c>
      <c r="I349" s="354" t="str">
        <f t="shared" si="66"/>
        <v>m³</v>
      </c>
      <c r="J349" s="350">
        <f t="shared" ref="J349:J367" si="67">+H349*F349</f>
        <v>118.99999999999999</v>
      </c>
      <c r="K349" s="360" t="s">
        <v>2299</v>
      </c>
      <c r="L349" s="20"/>
    </row>
    <row r="350" spans="1:13">
      <c r="A350" s="14" t="s">
        <v>2367</v>
      </c>
      <c r="D350" s="18">
        <v>3</v>
      </c>
      <c r="E350" s="26" t="str">
        <f t="shared" si="63"/>
        <v>Ripio</v>
      </c>
      <c r="F350" s="311">
        <v>0.7</v>
      </c>
      <c r="G350" s="307" t="str">
        <f t="shared" si="64"/>
        <v>m³</v>
      </c>
      <c r="H350" s="351">
        <f t="shared" si="65"/>
        <v>140</v>
      </c>
      <c r="I350" s="354" t="str">
        <f t="shared" si="66"/>
        <v>m³</v>
      </c>
      <c r="J350" s="350">
        <f t="shared" si="67"/>
        <v>98</v>
      </c>
      <c r="K350" s="360" t="s">
        <v>2299</v>
      </c>
      <c r="L350" s="20"/>
    </row>
    <row r="351" spans="1:13">
      <c r="A351" s="14" t="s">
        <v>2370</v>
      </c>
      <c r="D351" s="18">
        <v>4</v>
      </c>
      <c r="E351" s="26" t="str">
        <f t="shared" si="63"/>
        <v>Encofrado</v>
      </c>
      <c r="F351" s="311">
        <v>0.5</v>
      </c>
      <c r="G351" s="307" t="str">
        <f t="shared" si="64"/>
        <v>m²</v>
      </c>
      <c r="H351" s="351">
        <f t="shared" si="65"/>
        <v>380</v>
      </c>
      <c r="I351" s="354" t="str">
        <f t="shared" si="66"/>
        <v>m²</v>
      </c>
      <c r="J351" s="350">
        <f t="shared" si="67"/>
        <v>190</v>
      </c>
      <c r="K351" s="360" t="s">
        <v>2299</v>
      </c>
      <c r="L351" s="20"/>
    </row>
    <row r="352" spans="1:13">
      <c r="A352" s="14" t="s">
        <v>31</v>
      </c>
      <c r="D352" s="18">
        <v>5</v>
      </c>
      <c r="E352" s="26" t="str">
        <f t="shared" si="63"/>
        <v>-</v>
      </c>
      <c r="F352" s="311"/>
      <c r="G352" s="307" t="str">
        <f t="shared" si="64"/>
        <v>-</v>
      </c>
      <c r="H352" s="351">
        <f t="shared" si="65"/>
        <v>0</v>
      </c>
      <c r="I352" s="537" t="str">
        <f t="shared" si="66"/>
        <v>-</v>
      </c>
      <c r="J352" s="538">
        <f t="shared" si="67"/>
        <v>0</v>
      </c>
      <c r="K352" s="539" t="s">
        <v>2299</v>
      </c>
      <c r="L352" s="20"/>
    </row>
    <row r="353" spans="1:17">
      <c r="A353" s="14" t="s">
        <v>31</v>
      </c>
      <c r="D353" s="18">
        <v>6</v>
      </c>
      <c r="E353" s="26" t="str">
        <f t="shared" si="63"/>
        <v>-</v>
      </c>
      <c r="F353" s="311"/>
      <c r="G353" s="307" t="str">
        <f t="shared" si="64"/>
        <v>-</v>
      </c>
      <c r="H353" s="351">
        <f t="shared" si="65"/>
        <v>0</v>
      </c>
      <c r="I353" s="537" t="str">
        <f t="shared" si="66"/>
        <v>-</v>
      </c>
      <c r="J353" s="538">
        <f t="shared" si="67"/>
        <v>0</v>
      </c>
      <c r="K353" s="539" t="s">
        <v>2299</v>
      </c>
      <c r="L353" s="20"/>
    </row>
    <row r="354" spans="1:17">
      <c r="A354" s="14" t="s">
        <v>31</v>
      </c>
      <c r="D354" s="18">
        <v>7</v>
      </c>
      <c r="E354" s="26" t="str">
        <f t="shared" si="63"/>
        <v>-</v>
      </c>
      <c r="F354" s="311"/>
      <c r="G354" s="307" t="str">
        <f t="shared" si="64"/>
        <v>-</v>
      </c>
      <c r="H354" s="351">
        <f t="shared" si="65"/>
        <v>0</v>
      </c>
      <c r="I354" s="537" t="str">
        <f t="shared" si="66"/>
        <v>-</v>
      </c>
      <c r="J354" s="538">
        <f t="shared" si="67"/>
        <v>0</v>
      </c>
      <c r="K354" s="539" t="s">
        <v>2299</v>
      </c>
      <c r="L354" s="20"/>
    </row>
    <row r="355" spans="1:17">
      <c r="A355" s="14" t="s">
        <v>31</v>
      </c>
      <c r="D355" s="18">
        <v>8</v>
      </c>
      <c r="E355" s="26" t="str">
        <f t="shared" si="63"/>
        <v>-</v>
      </c>
      <c r="F355" s="311"/>
      <c r="G355" s="307" t="str">
        <f t="shared" si="64"/>
        <v>-</v>
      </c>
      <c r="H355" s="351">
        <f t="shared" si="65"/>
        <v>0</v>
      </c>
      <c r="I355" s="537" t="str">
        <f t="shared" si="66"/>
        <v>-</v>
      </c>
      <c r="J355" s="538">
        <f t="shared" si="67"/>
        <v>0</v>
      </c>
      <c r="K355" s="539" t="s">
        <v>2299</v>
      </c>
      <c r="L355" s="20"/>
    </row>
    <row r="356" spans="1:17">
      <c r="A356" s="14" t="s">
        <v>31</v>
      </c>
      <c r="D356" s="18">
        <v>9</v>
      </c>
      <c r="E356" s="26" t="str">
        <f t="shared" si="63"/>
        <v>-</v>
      </c>
      <c r="F356" s="311"/>
      <c r="G356" s="307" t="str">
        <f t="shared" si="64"/>
        <v>-</v>
      </c>
      <c r="H356" s="351">
        <f t="shared" si="65"/>
        <v>0</v>
      </c>
      <c r="I356" s="537" t="str">
        <f t="shared" si="66"/>
        <v>-</v>
      </c>
      <c r="J356" s="538">
        <f t="shared" si="67"/>
        <v>0</v>
      </c>
      <c r="K356" s="539" t="s">
        <v>2299</v>
      </c>
      <c r="L356" s="20"/>
    </row>
    <row r="357" spans="1:17">
      <c r="A357" s="14" t="s">
        <v>31</v>
      </c>
      <c r="D357" s="18">
        <v>10</v>
      </c>
      <c r="E357" s="26" t="str">
        <f t="shared" si="63"/>
        <v>-</v>
      </c>
      <c r="F357" s="311"/>
      <c r="G357" s="307" t="str">
        <f t="shared" si="64"/>
        <v>-</v>
      </c>
      <c r="H357" s="351">
        <f t="shared" si="65"/>
        <v>0</v>
      </c>
      <c r="I357" s="537" t="str">
        <f t="shared" si="66"/>
        <v>-</v>
      </c>
      <c r="J357" s="538">
        <f t="shared" si="67"/>
        <v>0</v>
      </c>
      <c r="K357" s="539" t="s">
        <v>2299</v>
      </c>
      <c r="L357" s="20"/>
    </row>
    <row r="358" spans="1:17">
      <c r="A358" s="14" t="s">
        <v>31</v>
      </c>
      <c r="D358" s="18">
        <v>11</v>
      </c>
      <c r="E358" s="26" t="str">
        <f t="shared" si="63"/>
        <v>-</v>
      </c>
      <c r="F358" s="311"/>
      <c r="G358" s="307" t="str">
        <f t="shared" si="64"/>
        <v>-</v>
      </c>
      <c r="H358" s="351">
        <f t="shared" si="65"/>
        <v>0</v>
      </c>
      <c r="I358" s="537" t="str">
        <f t="shared" si="66"/>
        <v>-</v>
      </c>
      <c r="J358" s="538">
        <f t="shared" si="67"/>
        <v>0</v>
      </c>
      <c r="K358" s="539" t="s">
        <v>2299</v>
      </c>
      <c r="L358" s="20"/>
    </row>
    <row r="359" spans="1:17">
      <c r="A359" s="14" t="s">
        <v>31</v>
      </c>
      <c r="D359" s="18">
        <v>12</v>
      </c>
      <c r="E359" s="26" t="str">
        <f t="shared" si="63"/>
        <v>-</v>
      </c>
      <c r="F359" s="311"/>
      <c r="G359" s="307" t="str">
        <f t="shared" si="64"/>
        <v>-</v>
      </c>
      <c r="H359" s="352">
        <f t="shared" si="65"/>
        <v>0</v>
      </c>
      <c r="I359" s="537" t="str">
        <f t="shared" si="66"/>
        <v>-</v>
      </c>
      <c r="J359" s="538">
        <f t="shared" si="67"/>
        <v>0</v>
      </c>
      <c r="K359" s="539" t="s">
        <v>2299</v>
      </c>
      <c r="L359" s="20"/>
    </row>
    <row r="360" spans="1:17">
      <c r="A360" s="14" t="s">
        <v>31</v>
      </c>
      <c r="D360" s="18">
        <v>13</v>
      </c>
      <c r="E360" s="26" t="str">
        <f t="shared" si="63"/>
        <v>-</v>
      </c>
      <c r="F360" s="311"/>
      <c r="G360" s="307" t="str">
        <f t="shared" si="64"/>
        <v>-</v>
      </c>
      <c r="H360" s="352">
        <f t="shared" si="65"/>
        <v>0</v>
      </c>
      <c r="I360" s="537" t="str">
        <f t="shared" si="66"/>
        <v>-</v>
      </c>
      <c r="J360" s="538">
        <f t="shared" si="67"/>
        <v>0</v>
      </c>
      <c r="K360" s="539" t="s">
        <v>2299</v>
      </c>
      <c r="L360" s="20"/>
    </row>
    <row r="361" spans="1:17">
      <c r="A361" s="14" t="s">
        <v>31</v>
      </c>
      <c r="D361" s="18">
        <v>14</v>
      </c>
      <c r="E361" s="26" t="str">
        <f t="shared" si="63"/>
        <v>-</v>
      </c>
      <c r="F361" s="311"/>
      <c r="G361" s="307" t="str">
        <f t="shared" si="64"/>
        <v>-</v>
      </c>
      <c r="H361" s="352">
        <f t="shared" si="65"/>
        <v>0</v>
      </c>
      <c r="I361" s="537" t="str">
        <f t="shared" si="66"/>
        <v>-</v>
      </c>
      <c r="J361" s="538">
        <f t="shared" si="67"/>
        <v>0</v>
      </c>
      <c r="K361" s="539" t="s">
        <v>2299</v>
      </c>
      <c r="L361" s="20"/>
    </row>
    <row r="362" spans="1:17">
      <c r="A362" s="14" t="s">
        <v>31</v>
      </c>
      <c r="D362" s="18">
        <v>15</v>
      </c>
      <c r="E362" s="26" t="str">
        <f t="shared" si="63"/>
        <v>-</v>
      </c>
      <c r="F362" s="311"/>
      <c r="G362" s="307" t="str">
        <f t="shared" si="64"/>
        <v>-</v>
      </c>
      <c r="H362" s="352">
        <f t="shared" si="65"/>
        <v>0</v>
      </c>
      <c r="I362" s="537" t="str">
        <f t="shared" si="66"/>
        <v>-</v>
      </c>
      <c r="J362" s="538">
        <f t="shared" si="67"/>
        <v>0</v>
      </c>
      <c r="K362" s="539" t="s">
        <v>2299</v>
      </c>
      <c r="L362" s="20"/>
    </row>
    <row r="363" spans="1:17">
      <c r="A363" s="14" t="s">
        <v>31</v>
      </c>
      <c r="D363" s="18">
        <v>16</v>
      </c>
      <c r="E363" s="26" t="str">
        <f t="shared" si="63"/>
        <v>-</v>
      </c>
      <c r="F363" s="311"/>
      <c r="G363" s="307" t="str">
        <f t="shared" si="64"/>
        <v>-</v>
      </c>
      <c r="H363" s="352">
        <f t="shared" si="65"/>
        <v>0</v>
      </c>
      <c r="I363" s="537" t="str">
        <f t="shared" si="66"/>
        <v>-</v>
      </c>
      <c r="J363" s="538">
        <f t="shared" si="67"/>
        <v>0</v>
      </c>
      <c r="K363" s="539" t="s">
        <v>2299</v>
      </c>
      <c r="L363" s="20"/>
    </row>
    <row r="364" spans="1:17">
      <c r="A364" s="14" t="s">
        <v>31</v>
      </c>
      <c r="D364" s="18">
        <v>17</v>
      </c>
      <c r="E364" s="26" t="str">
        <f t="shared" si="63"/>
        <v>-</v>
      </c>
      <c r="F364" s="311"/>
      <c r="G364" s="307" t="str">
        <f t="shared" si="64"/>
        <v>-</v>
      </c>
      <c r="H364" s="352">
        <f t="shared" si="65"/>
        <v>0</v>
      </c>
      <c r="I364" s="537" t="str">
        <f t="shared" si="66"/>
        <v>-</v>
      </c>
      <c r="J364" s="538">
        <f t="shared" si="67"/>
        <v>0</v>
      </c>
      <c r="K364" s="539" t="s">
        <v>2299</v>
      </c>
      <c r="L364" s="20"/>
    </row>
    <row r="365" spans="1:17">
      <c r="A365" s="14" t="s">
        <v>31</v>
      </c>
      <c r="D365" s="18">
        <v>18</v>
      </c>
      <c r="E365" s="26" t="str">
        <f t="shared" si="63"/>
        <v>-</v>
      </c>
      <c r="F365" s="311"/>
      <c r="G365" s="307" t="str">
        <f t="shared" si="64"/>
        <v>-</v>
      </c>
      <c r="H365" s="352">
        <f t="shared" si="65"/>
        <v>0</v>
      </c>
      <c r="I365" s="537" t="str">
        <f t="shared" si="66"/>
        <v>-</v>
      </c>
      <c r="J365" s="538">
        <f t="shared" si="67"/>
        <v>0</v>
      </c>
      <c r="K365" s="539" t="s">
        <v>2299</v>
      </c>
      <c r="L365" s="20"/>
    </row>
    <row r="366" spans="1:17">
      <c r="A366" s="14" t="s">
        <v>31</v>
      </c>
      <c r="D366" s="18">
        <v>19</v>
      </c>
      <c r="E366" s="26" t="str">
        <f t="shared" si="63"/>
        <v>-</v>
      </c>
      <c r="F366" s="311"/>
      <c r="G366" s="307" t="str">
        <f t="shared" si="64"/>
        <v>-</v>
      </c>
      <c r="H366" s="352">
        <f t="shared" si="65"/>
        <v>0</v>
      </c>
      <c r="I366" s="537" t="str">
        <f t="shared" si="66"/>
        <v>-</v>
      </c>
      <c r="J366" s="538">
        <f t="shared" si="67"/>
        <v>0</v>
      </c>
      <c r="K366" s="539" t="s">
        <v>2299</v>
      </c>
      <c r="L366" s="20"/>
    </row>
    <row r="367" spans="1:17">
      <c r="A367" s="14" t="s">
        <v>31</v>
      </c>
      <c r="D367" s="18">
        <v>20</v>
      </c>
      <c r="E367" s="26" t="str">
        <f t="shared" si="63"/>
        <v>-</v>
      </c>
      <c r="F367" s="311"/>
      <c r="G367" s="307" t="str">
        <f t="shared" si="64"/>
        <v>-</v>
      </c>
      <c r="H367" s="352">
        <f t="shared" si="65"/>
        <v>0</v>
      </c>
      <c r="I367" s="537" t="str">
        <f t="shared" si="66"/>
        <v>-</v>
      </c>
      <c r="J367" s="541">
        <f t="shared" si="67"/>
        <v>0</v>
      </c>
      <c r="K367" s="539" t="s">
        <v>2299</v>
      </c>
      <c r="L367" s="20"/>
    </row>
    <row r="368" spans="1:17">
      <c r="A368" s="14">
        <f>A335+1</f>
        <v>8</v>
      </c>
      <c r="B368" s="14" t="str">
        <f>"MA" &amp; TEXT(A368,"##000")</f>
        <v>MA008</v>
      </c>
      <c r="D368" s="18"/>
      <c r="E368" s="591" t="s">
        <v>2302</v>
      </c>
      <c r="F368" s="592"/>
      <c r="G368" s="592"/>
      <c r="H368" s="592"/>
      <c r="I368" s="327"/>
      <c r="J368" s="353">
        <f>SUM(J348:J367)</f>
        <v>816.5</v>
      </c>
      <c r="K368" s="365" t="str">
        <f>+F345</f>
        <v>m3</v>
      </c>
      <c r="L368" s="20"/>
      <c r="O368" s="27" t="s">
        <v>1525</v>
      </c>
      <c r="P368" s="110">
        <v>900</v>
      </c>
      <c r="Q368" s="14" t="s">
        <v>2432</v>
      </c>
    </row>
    <row r="369" spans="1:19">
      <c r="D369" s="18"/>
      <c r="E369" s="593" t="s">
        <v>100</v>
      </c>
      <c r="F369" s="594"/>
      <c r="G369" s="594"/>
      <c r="H369" s="594"/>
      <c r="I369" s="594"/>
      <c r="J369" s="595"/>
      <c r="K369" s="347"/>
      <c r="L369" s="20"/>
      <c r="O369" s="27" t="s">
        <v>1524</v>
      </c>
      <c r="P369" s="110">
        <v>0</v>
      </c>
    </row>
    <row r="370" spans="1:19">
      <c r="A370" s="14" t="s">
        <v>84</v>
      </c>
      <c r="D370" s="18">
        <v>1</v>
      </c>
      <c r="E370" s="26" t="str">
        <f>VLOOKUP($A370,MATMO,2,FALSE)</f>
        <v>Oficial</v>
      </c>
      <c r="F370" s="311">
        <v>11.57</v>
      </c>
      <c r="G370" s="307" t="str">
        <f>VLOOKUP($A370,MATMO,3,FALSE)</f>
        <v>hs</v>
      </c>
      <c r="H370" s="110">
        <f>VLOOKUP($A370,MATMO,4,FALSE)*$Q$7</f>
        <v>55.38</v>
      </c>
      <c r="I370" s="354" t="str">
        <f t="shared" ref="I370:I374" si="68">+G370</f>
        <v>hs</v>
      </c>
      <c r="J370" s="350">
        <f t="shared" ref="J370:J374" si="69">+H370*F370</f>
        <v>640.74660000000006</v>
      </c>
      <c r="K370" s="360" t="s">
        <v>2299</v>
      </c>
      <c r="L370" s="20"/>
      <c r="M370" s="14" t="s">
        <v>2006</v>
      </c>
      <c r="O370" s="27" t="s">
        <v>1526</v>
      </c>
      <c r="P370" s="110">
        <v>0</v>
      </c>
    </row>
    <row r="371" spans="1:19">
      <c r="A371" s="14" t="s">
        <v>85</v>
      </c>
      <c r="D371" s="18">
        <v>2</v>
      </c>
      <c r="E371" s="26" t="str">
        <f>VLOOKUP($A371,MATMO,2,FALSE)</f>
        <v>Ayudante</v>
      </c>
      <c r="F371" s="311">
        <v>5</v>
      </c>
      <c r="G371" s="307" t="str">
        <f>VLOOKUP($A371,MATMO,3,FALSE)</f>
        <v>hs</v>
      </c>
      <c r="H371" s="110">
        <f>VLOOKUP($A371,MATMO,4,FALSE)*$Q$7</f>
        <v>46.87</v>
      </c>
      <c r="I371" s="354" t="str">
        <f t="shared" si="68"/>
        <v>hs</v>
      </c>
      <c r="J371" s="350">
        <f t="shared" si="69"/>
        <v>234.35</v>
      </c>
      <c r="K371" s="360" t="s">
        <v>2299</v>
      </c>
      <c r="L371" s="20"/>
      <c r="O371" s="27" t="s">
        <v>1527</v>
      </c>
      <c r="P371" s="110">
        <v>0</v>
      </c>
    </row>
    <row r="372" spans="1:19">
      <c r="A372" s="14" t="s">
        <v>2311</v>
      </c>
      <c r="D372" s="18">
        <v>3</v>
      </c>
      <c r="E372" s="26" t="str">
        <f>VLOOKUP($A372,MATMO,2,FALSE)</f>
        <v>Cargas Sociales Oficial</v>
      </c>
      <c r="F372" s="311">
        <f>+F370</f>
        <v>11.57</v>
      </c>
      <c r="G372" s="307" t="str">
        <f>VLOOKUP($A372,MATMO,3,FALSE)</f>
        <v>hs</v>
      </c>
      <c r="H372" s="110">
        <f>VLOOKUP($A372,MATMO,4,FALSE)*$Q$7</f>
        <v>52.742782499999997</v>
      </c>
      <c r="I372" s="354" t="str">
        <f t="shared" si="68"/>
        <v>hs</v>
      </c>
      <c r="J372" s="350">
        <f t="shared" si="69"/>
        <v>610.23399352499996</v>
      </c>
      <c r="K372" s="360" t="s">
        <v>2299</v>
      </c>
      <c r="L372" s="20"/>
      <c r="O372" s="27"/>
      <c r="P372" s="110">
        <v>0</v>
      </c>
    </row>
    <row r="373" spans="1:19">
      <c r="A373" s="14" t="s">
        <v>2312</v>
      </c>
      <c r="D373" s="18">
        <v>4</v>
      </c>
      <c r="E373" s="26" t="str">
        <f>VLOOKUP($A373,MATMO,2,FALSE)</f>
        <v>Cargas Sociales Ayudante</v>
      </c>
      <c r="F373" s="311">
        <f>+F371</f>
        <v>5</v>
      </c>
      <c r="G373" s="307" t="str">
        <f>VLOOKUP($A373,MATMO,3,FALSE)</f>
        <v>hs</v>
      </c>
      <c r="H373" s="110">
        <f>VLOOKUP($A373,MATMO,4,FALSE)*$Q$7</f>
        <v>45.108248750000001</v>
      </c>
      <c r="I373" s="354" t="str">
        <f t="shared" si="68"/>
        <v>hs</v>
      </c>
      <c r="J373" s="350">
        <f t="shared" si="69"/>
        <v>225.54124375000001</v>
      </c>
      <c r="K373" s="360" t="s">
        <v>2299</v>
      </c>
      <c r="L373" s="20"/>
      <c r="O373" s="27"/>
      <c r="P373" s="110">
        <v>0</v>
      </c>
    </row>
    <row r="374" spans="1:19" ht="16.5" thickBot="1">
      <c r="A374" s="14" t="s">
        <v>83</v>
      </c>
      <c r="D374" s="18">
        <v>5</v>
      </c>
      <c r="E374" s="26" t="str">
        <f>VLOOKUP($A374,MATMO,2,FALSE)</f>
        <v>-</v>
      </c>
      <c r="F374" s="311"/>
      <c r="G374" s="307" t="str">
        <f>VLOOKUP($A374,MATMO,3,FALSE)</f>
        <v>-</v>
      </c>
      <c r="H374" s="110">
        <f>VLOOKUP($A374,MATMO,4,FALSE)*$Q$7</f>
        <v>0</v>
      </c>
      <c r="I374" s="537" t="str">
        <f t="shared" si="68"/>
        <v>-</v>
      </c>
      <c r="J374" s="538">
        <f t="shared" si="69"/>
        <v>0</v>
      </c>
      <c r="K374" s="539" t="s">
        <v>2299</v>
      </c>
      <c r="L374" s="20"/>
      <c r="O374" s="27"/>
      <c r="P374" s="110">
        <v>0</v>
      </c>
      <c r="R374" s="29" t="s">
        <v>2307</v>
      </c>
    </row>
    <row r="375" spans="1:19" ht="16.5" thickBot="1">
      <c r="A375" s="14">
        <f>A335+1</f>
        <v>8</v>
      </c>
      <c r="B375" s="14" t="str">
        <f>"MO" &amp; TEXT(A375,"##000")</f>
        <v>MO008</v>
      </c>
      <c r="D375" s="18"/>
      <c r="E375" s="591" t="s">
        <v>2301</v>
      </c>
      <c r="F375" s="592"/>
      <c r="G375" s="592"/>
      <c r="H375" s="592"/>
      <c r="I375" s="327"/>
      <c r="J375" s="362">
        <f>SUM(J370:J374)</f>
        <v>1710.871837275</v>
      </c>
      <c r="K375" s="365" t="str">
        <f>+G370</f>
        <v>hs</v>
      </c>
      <c r="L375" s="20"/>
      <c r="N375" s="111">
        <f>+P375+R375</f>
        <v>1710</v>
      </c>
      <c r="O375" s="27"/>
      <c r="P375" s="27">
        <f>SUM(P368:P374)</f>
        <v>900</v>
      </c>
      <c r="Q375" s="26">
        <v>0.9</v>
      </c>
      <c r="R375" s="287">
        <f>+Q375*P375</f>
        <v>810</v>
      </c>
      <c r="S375" s="288"/>
    </row>
    <row r="376" spans="1:19">
      <c r="D376" s="18"/>
      <c r="E376" s="593" t="s">
        <v>101</v>
      </c>
      <c r="F376" s="594"/>
      <c r="G376" s="594"/>
      <c r="H376" s="594"/>
      <c r="I376" s="594"/>
      <c r="J376" s="595"/>
      <c r="K376" s="347"/>
      <c r="L376" s="20"/>
      <c r="P376" s="14" t="s">
        <v>2308</v>
      </c>
    </row>
    <row r="377" spans="1:19">
      <c r="A377" s="14" t="s">
        <v>119</v>
      </c>
      <c r="D377" s="18">
        <v>1</v>
      </c>
      <c r="E377" s="26" t="str">
        <f>VLOOKUP($A377,MATMO,2,FALSE)</f>
        <v>Herramientas de Mano</v>
      </c>
      <c r="F377" s="311">
        <v>1</v>
      </c>
      <c r="G377" s="307" t="str">
        <f>VLOOKUP($A377,MATMO,3,FALSE)</f>
        <v>gl</v>
      </c>
      <c r="H377" s="110">
        <f>+(J368+J375)*$Q$5</f>
        <v>101.094873491</v>
      </c>
      <c r="I377" s="345" t="str">
        <f>+G377</f>
        <v>gl</v>
      </c>
      <c r="J377" s="350">
        <f t="shared" ref="J377:J381" si="70">+H377*F377</f>
        <v>101.094873491</v>
      </c>
      <c r="K377" s="360" t="s">
        <v>2299</v>
      </c>
      <c r="L377" s="20"/>
      <c r="M377" s="14" t="s">
        <v>2004</v>
      </c>
    </row>
    <row r="378" spans="1:19">
      <c r="A378" s="14" t="s">
        <v>134</v>
      </c>
      <c r="D378" s="18">
        <v>2</v>
      </c>
      <c r="E378" s="26" t="str">
        <f>VLOOKUP($A378,MATMO,2,FALSE)</f>
        <v>Retroexcavadora</v>
      </c>
      <c r="F378" s="311">
        <v>0.1</v>
      </c>
      <c r="G378" s="307" t="str">
        <f>VLOOKUP($A378,MATMO,3,FALSE)</f>
        <v>hs</v>
      </c>
      <c r="H378" s="110">
        <f>VLOOKUP($A378,MATMO,4,FALSE)*$Q$6</f>
        <v>450</v>
      </c>
      <c r="I378" s="345" t="str">
        <f t="shared" ref="I378:I381" si="71">+G378</f>
        <v>hs</v>
      </c>
      <c r="J378" s="350">
        <f t="shared" si="70"/>
        <v>45</v>
      </c>
      <c r="K378" s="360" t="s">
        <v>2299</v>
      </c>
      <c r="L378" s="20"/>
    </row>
    <row r="379" spans="1:19">
      <c r="A379" s="14" t="s">
        <v>118</v>
      </c>
      <c r="D379" s="18">
        <v>3</v>
      </c>
      <c r="E379" s="26" t="str">
        <f>VLOOKUP($A379,MATMO,2,FALSE)</f>
        <v>-</v>
      </c>
      <c r="F379" s="311"/>
      <c r="G379" s="307" t="str">
        <f>VLOOKUP($A379,MATMO,3,FALSE)</f>
        <v>-</v>
      </c>
      <c r="H379" s="110">
        <f>VLOOKUP($A379,MATMO,4,FALSE)*$Q$6</f>
        <v>0</v>
      </c>
      <c r="I379" s="543" t="str">
        <f t="shared" si="71"/>
        <v>-</v>
      </c>
      <c r="J379" s="538">
        <f t="shared" si="70"/>
        <v>0</v>
      </c>
      <c r="K379" s="539" t="s">
        <v>2299</v>
      </c>
      <c r="L379" s="20"/>
    </row>
    <row r="380" spans="1:19">
      <c r="A380" s="14" t="s">
        <v>118</v>
      </c>
      <c r="D380" s="18">
        <v>4</v>
      </c>
      <c r="E380" s="26" t="str">
        <f>VLOOKUP($A380,MATMO,2,FALSE)</f>
        <v>-</v>
      </c>
      <c r="F380" s="311"/>
      <c r="G380" s="307" t="str">
        <f>VLOOKUP($A380,MATMO,3,FALSE)</f>
        <v>-</v>
      </c>
      <c r="H380" s="110">
        <f>VLOOKUP($A380,MATMO,4,FALSE)*$Q$6</f>
        <v>0</v>
      </c>
      <c r="I380" s="543" t="str">
        <f t="shared" si="71"/>
        <v>-</v>
      </c>
      <c r="J380" s="538">
        <f t="shared" si="70"/>
        <v>0</v>
      </c>
      <c r="K380" s="539" t="s">
        <v>2299</v>
      </c>
      <c r="L380" s="20"/>
    </row>
    <row r="381" spans="1:19">
      <c r="A381" s="14" t="s">
        <v>118</v>
      </c>
      <c r="D381" s="18">
        <v>5</v>
      </c>
      <c r="E381" s="26" t="str">
        <f>VLOOKUP($A381,MATMO,2,FALSE)</f>
        <v>-</v>
      </c>
      <c r="F381" s="311"/>
      <c r="G381" s="307" t="str">
        <f>VLOOKUP($A381,MATMO,3,FALSE)</f>
        <v>-</v>
      </c>
      <c r="H381" s="110">
        <f>VLOOKUP($A381,MATMO,4,FALSE)*$Q$6</f>
        <v>0</v>
      </c>
      <c r="I381" s="543" t="str">
        <f t="shared" si="71"/>
        <v>-</v>
      </c>
      <c r="J381" s="538">
        <f t="shared" si="70"/>
        <v>0</v>
      </c>
      <c r="K381" s="539" t="s">
        <v>2299</v>
      </c>
      <c r="L381" s="20"/>
    </row>
    <row r="382" spans="1:19">
      <c r="A382" s="14">
        <f>A335+1</f>
        <v>8</v>
      </c>
      <c r="B382" s="14" t="str">
        <f>"E" &amp; TEXT(A382,"##000")</f>
        <v>E008</v>
      </c>
      <c r="D382" s="18"/>
      <c r="E382" s="591" t="s">
        <v>2300</v>
      </c>
      <c r="F382" s="592"/>
      <c r="G382" s="592"/>
      <c r="H382" s="592"/>
      <c r="I382" s="327"/>
      <c r="J382" s="362">
        <f>SUM(J377:J381)</f>
        <v>146.09487349099999</v>
      </c>
      <c r="K382" s="365" t="s">
        <v>116</v>
      </c>
      <c r="L382" s="20"/>
    </row>
    <row r="383" spans="1:19">
      <c r="D383" s="18"/>
      <c r="E383" s="596"/>
      <c r="F383" s="597"/>
      <c r="G383" s="597"/>
      <c r="H383" s="597"/>
      <c r="I383" s="597"/>
      <c r="J383" s="598"/>
      <c r="K383" s="348"/>
      <c r="L383" s="20"/>
    </row>
    <row r="384" spans="1:19">
      <c r="D384" s="18"/>
      <c r="E384" s="591" t="s">
        <v>2306</v>
      </c>
      <c r="F384" s="592"/>
      <c r="G384" s="592"/>
      <c r="H384" s="592"/>
      <c r="I384" s="327"/>
      <c r="J384" s="308">
        <f>+J382+J375+J368</f>
        <v>2673.4667107659998</v>
      </c>
      <c r="K384" s="365" t="str">
        <f>+F345</f>
        <v>m3</v>
      </c>
      <c r="L384" s="20"/>
    </row>
    <row r="385" spans="1:13">
      <c r="D385" s="18"/>
      <c r="E385" s="591" t="s">
        <v>2305</v>
      </c>
      <c r="F385" s="592"/>
      <c r="G385" s="592"/>
      <c r="H385" s="592"/>
      <c r="I385" s="406">
        <f>+$Q$9</f>
        <v>1.6902999999999999</v>
      </c>
      <c r="J385" s="308">
        <f>+$Q$9*J384</f>
        <v>4518.9607812077693</v>
      </c>
      <c r="K385" s="365" t="str">
        <f>+F345</f>
        <v>m3</v>
      </c>
      <c r="L385" s="20"/>
    </row>
    <row r="386" spans="1:13">
      <c r="A386" s="14">
        <f>A339+1</f>
        <v>8</v>
      </c>
      <c r="B386" s="14" t="str">
        <f>"TR" &amp; TEXT(A386,"##000")</f>
        <v>TR008</v>
      </c>
      <c r="C386" s="14">
        <f>+C339+1</f>
        <v>8</v>
      </c>
      <c r="D386" s="18"/>
      <c r="E386" s="591" t="s">
        <v>2304</v>
      </c>
      <c r="F386" s="592"/>
      <c r="G386" s="592"/>
      <c r="H386" s="592"/>
      <c r="I386" s="327"/>
      <c r="J386" s="308">
        <f>+J385</f>
        <v>4518.9607812077693</v>
      </c>
      <c r="K386" s="365" t="str">
        <f>+F345</f>
        <v>m3</v>
      </c>
      <c r="L386" s="20"/>
    </row>
    <row r="387" spans="1:13" ht="16.5" thickBot="1">
      <c r="D387" s="21"/>
      <c r="E387" s="30"/>
      <c r="F387" s="30"/>
      <c r="G387" s="30"/>
      <c r="H387" s="30"/>
      <c r="I387" s="30"/>
      <c r="J387" s="30"/>
      <c r="K387" s="349"/>
      <c r="L387" s="22"/>
    </row>
    <row r="388" spans="1:13" ht="16.5" thickTop="1">
      <c r="D388" s="15"/>
      <c r="E388" s="16"/>
      <c r="F388" s="16"/>
      <c r="G388" s="16"/>
      <c r="H388" s="16"/>
      <c r="I388" s="16"/>
      <c r="J388" s="16"/>
      <c r="K388" s="16"/>
      <c r="L388" s="17"/>
    </row>
    <row r="389" spans="1:13">
      <c r="A389" s="14" t="s">
        <v>1823</v>
      </c>
      <c r="D389" s="18"/>
      <c r="E389" s="23" t="s">
        <v>95</v>
      </c>
      <c r="F389" s="24" t="str">
        <f>VLOOKUP($A389,DATRUB,3,FALSE)</f>
        <v>RUBRO III:</v>
      </c>
      <c r="G389" s="599" t="str">
        <f>VLOOKUP($A389,DATRUB,4,FALSE)</f>
        <v xml:space="preserve"> ESTRUCTURA RESISTENTE</v>
      </c>
      <c r="H389" s="599"/>
      <c r="I389" s="599"/>
      <c r="J389" s="599"/>
      <c r="K389" s="599"/>
      <c r="L389" s="20"/>
    </row>
    <row r="390" spans="1:13" ht="35.1" customHeight="1">
      <c r="A390" s="14" t="s">
        <v>1825</v>
      </c>
      <c r="D390" s="18"/>
      <c r="E390" s="23" t="s">
        <v>96</v>
      </c>
      <c r="F390" s="399">
        <f>VLOOKUP($A390,DATRUB,3,FALSE)</f>
        <v>3.2</v>
      </c>
      <c r="G390" s="599" t="str">
        <f>VLOOKUP($A390,DATRUB,4,FALSE)</f>
        <v>Cimiento comun con Piedra Bola</v>
      </c>
      <c r="H390" s="599"/>
      <c r="I390" s="599"/>
      <c r="J390" s="599"/>
      <c r="K390" s="599"/>
      <c r="L390" s="20"/>
    </row>
    <row r="391" spans="1:13" ht="35.1" customHeight="1">
      <c r="A391" s="14" t="s">
        <v>1825</v>
      </c>
      <c r="D391" s="18"/>
      <c r="E391" s="23" t="s">
        <v>97</v>
      </c>
      <c r="F391" s="399">
        <f>VLOOKUP($A391,DATRUB,3,FALSE)</f>
        <v>3.2</v>
      </c>
      <c r="G391" s="599" t="str">
        <f>VLOOKUP($A391,DATRUB,4,FALSE)</f>
        <v>Cimiento comun con Piedra Bola</v>
      </c>
      <c r="H391" s="599"/>
      <c r="I391" s="599"/>
      <c r="J391" s="599"/>
      <c r="K391" s="599"/>
      <c r="L391" s="20"/>
    </row>
    <row r="392" spans="1:13">
      <c r="D392" s="18"/>
      <c r="E392" s="23" t="s">
        <v>98</v>
      </c>
      <c r="F392" s="24" t="str">
        <f>VLOOKUP($A391,DATRUB,5,FALSE)</f>
        <v>m3</v>
      </c>
      <c r="G392" s="600"/>
      <c r="H392" s="600"/>
      <c r="I392" s="600"/>
      <c r="J392" s="600"/>
      <c r="K392" s="600"/>
      <c r="L392" s="20"/>
    </row>
    <row r="393" spans="1:13">
      <c r="D393" s="18"/>
      <c r="E393" s="24" t="s">
        <v>1158</v>
      </c>
      <c r="F393" s="25" t="s">
        <v>1250</v>
      </c>
      <c r="G393" s="24" t="s">
        <v>24</v>
      </c>
      <c r="H393" s="24" t="s">
        <v>25</v>
      </c>
      <c r="I393" s="24" t="s">
        <v>24</v>
      </c>
      <c r="J393" s="24" t="s">
        <v>2298</v>
      </c>
      <c r="K393" s="24" t="s">
        <v>24</v>
      </c>
      <c r="L393" s="20"/>
    </row>
    <row r="394" spans="1:13">
      <c r="D394" s="18"/>
      <c r="E394" s="593" t="s">
        <v>99</v>
      </c>
      <c r="F394" s="594"/>
      <c r="G394" s="594"/>
      <c r="H394" s="594"/>
      <c r="I394" s="594"/>
      <c r="J394" s="594"/>
      <c r="K394" s="595"/>
      <c r="L394" s="20"/>
    </row>
    <row r="395" spans="1:13">
      <c r="A395" s="14" t="s">
        <v>2433</v>
      </c>
      <c r="D395" s="18">
        <v>1</v>
      </c>
      <c r="E395" s="355" t="str">
        <f t="shared" ref="E395:E414" si="72">VLOOKUP($A395,MATMO,2,FALSE)</f>
        <v>Hormigón Elaborado 4</v>
      </c>
      <c r="F395" s="356">
        <v>1.1000000000000001</v>
      </c>
      <c r="G395" s="357" t="str">
        <f t="shared" ref="G395:G414" si="73">VLOOKUP($A395,MATMO,3,FALSE)</f>
        <v>m³</v>
      </c>
      <c r="H395" s="358">
        <f t="shared" ref="H395:H414" si="74">VLOOKUP($A395,MATMO,4,FALSE)*$Q$6</f>
        <v>1421</v>
      </c>
      <c r="I395" s="359" t="str">
        <f t="shared" ref="I395:I414" si="75">+G395</f>
        <v>m³</v>
      </c>
      <c r="J395" s="361">
        <f>+H395*F395</f>
        <v>1563.1000000000001</v>
      </c>
      <c r="K395" s="360" t="s">
        <v>2299</v>
      </c>
      <c r="L395" s="20"/>
      <c r="M395" s="14" t="s">
        <v>2005</v>
      </c>
    </row>
    <row r="396" spans="1:13">
      <c r="A396" s="14" t="s">
        <v>159</v>
      </c>
      <c r="D396" s="18">
        <v>2</v>
      </c>
      <c r="E396" s="26" t="str">
        <f t="shared" si="72"/>
        <v>Piedra Bola</v>
      </c>
      <c r="F396" s="311">
        <v>0.05</v>
      </c>
      <c r="G396" s="307" t="str">
        <f t="shared" si="73"/>
        <v>m³</v>
      </c>
      <c r="H396" s="351">
        <f t="shared" si="74"/>
        <v>210</v>
      </c>
      <c r="I396" s="354" t="str">
        <f t="shared" si="75"/>
        <v>m³</v>
      </c>
      <c r="J396" s="350">
        <f t="shared" ref="J396:J414" si="76">+H396*F396</f>
        <v>10.5</v>
      </c>
      <c r="K396" s="360" t="s">
        <v>2299</v>
      </c>
      <c r="L396" s="20"/>
    </row>
    <row r="397" spans="1:13">
      <c r="A397" s="14" t="s">
        <v>208</v>
      </c>
      <c r="D397" s="18">
        <v>3</v>
      </c>
      <c r="E397" s="26" t="str">
        <f t="shared" si="72"/>
        <v>Alambre N° 14</v>
      </c>
      <c r="F397" s="311">
        <v>2</v>
      </c>
      <c r="G397" s="307" t="str">
        <f t="shared" si="73"/>
        <v>kg</v>
      </c>
      <c r="H397" s="351">
        <f t="shared" si="74"/>
        <v>24.334</v>
      </c>
      <c r="I397" s="354" t="str">
        <f t="shared" si="75"/>
        <v>kg</v>
      </c>
      <c r="J397" s="350">
        <f t="shared" si="76"/>
        <v>48.667999999999999</v>
      </c>
      <c r="K397" s="360" t="s">
        <v>2299</v>
      </c>
      <c r="L397" s="20"/>
    </row>
    <row r="398" spans="1:13">
      <c r="A398" s="14" t="s">
        <v>210</v>
      </c>
      <c r="D398" s="18">
        <v>4</v>
      </c>
      <c r="E398" s="26" t="str">
        <f t="shared" si="72"/>
        <v>Clavos 2"</v>
      </c>
      <c r="F398" s="311">
        <v>0.3</v>
      </c>
      <c r="G398" s="307" t="str">
        <f t="shared" si="73"/>
        <v>kg</v>
      </c>
      <c r="H398" s="351">
        <f t="shared" si="74"/>
        <v>20.83</v>
      </c>
      <c r="I398" s="354" t="str">
        <f t="shared" si="75"/>
        <v>kg</v>
      </c>
      <c r="J398" s="350">
        <f t="shared" si="76"/>
        <v>6.2489999999999997</v>
      </c>
      <c r="K398" s="360" t="s">
        <v>2299</v>
      </c>
      <c r="L398" s="20"/>
    </row>
    <row r="399" spans="1:13">
      <c r="A399" s="14" t="s">
        <v>46</v>
      </c>
      <c r="D399" s="18">
        <v>5</v>
      </c>
      <c r="E399" s="26" t="str">
        <f t="shared" si="72"/>
        <v>Encofrado</v>
      </c>
      <c r="F399" s="311">
        <v>0.3</v>
      </c>
      <c r="G399" s="307" t="str">
        <f t="shared" si="73"/>
        <v>m²</v>
      </c>
      <c r="H399" s="351">
        <f t="shared" si="74"/>
        <v>380</v>
      </c>
      <c r="I399" s="354" t="str">
        <f t="shared" si="75"/>
        <v>m²</v>
      </c>
      <c r="J399" s="350">
        <f t="shared" si="76"/>
        <v>114</v>
      </c>
      <c r="K399" s="360" t="s">
        <v>2299</v>
      </c>
      <c r="L399" s="20"/>
    </row>
    <row r="400" spans="1:13">
      <c r="A400" s="14" t="s">
        <v>2369</v>
      </c>
      <c r="D400" s="18">
        <v>6</v>
      </c>
      <c r="E400" s="26" t="str">
        <f t="shared" si="72"/>
        <v>Hierro</v>
      </c>
      <c r="F400" s="311">
        <v>10</v>
      </c>
      <c r="G400" s="307" t="str">
        <f t="shared" si="73"/>
        <v>kg</v>
      </c>
      <c r="H400" s="351">
        <f t="shared" si="74"/>
        <v>15.588335288624991</v>
      </c>
      <c r="I400" s="354" t="str">
        <f t="shared" si="75"/>
        <v>kg</v>
      </c>
      <c r="J400" s="350">
        <f t="shared" si="76"/>
        <v>155.88335288624992</v>
      </c>
      <c r="K400" s="360" t="s">
        <v>2299</v>
      </c>
      <c r="L400" s="20"/>
    </row>
    <row r="401" spans="1:16">
      <c r="A401" s="14" t="s">
        <v>31</v>
      </c>
      <c r="D401" s="18">
        <v>7</v>
      </c>
      <c r="E401" s="26" t="str">
        <f t="shared" si="72"/>
        <v>-</v>
      </c>
      <c r="F401" s="311"/>
      <c r="G401" s="307" t="str">
        <f t="shared" si="73"/>
        <v>-</v>
      </c>
      <c r="H401" s="351">
        <f t="shared" si="74"/>
        <v>0</v>
      </c>
      <c r="I401" s="537" t="str">
        <f t="shared" si="75"/>
        <v>-</v>
      </c>
      <c r="J401" s="538">
        <f t="shared" si="76"/>
        <v>0</v>
      </c>
      <c r="K401" s="539" t="s">
        <v>2299</v>
      </c>
      <c r="L401" s="20"/>
    </row>
    <row r="402" spans="1:16">
      <c r="A402" s="14" t="s">
        <v>31</v>
      </c>
      <c r="D402" s="18">
        <v>8</v>
      </c>
      <c r="E402" s="26" t="str">
        <f t="shared" si="72"/>
        <v>-</v>
      </c>
      <c r="F402" s="311"/>
      <c r="G402" s="307" t="str">
        <f t="shared" si="73"/>
        <v>-</v>
      </c>
      <c r="H402" s="351">
        <f t="shared" si="74"/>
        <v>0</v>
      </c>
      <c r="I402" s="537" t="str">
        <f t="shared" si="75"/>
        <v>-</v>
      </c>
      <c r="J402" s="538">
        <f t="shared" si="76"/>
        <v>0</v>
      </c>
      <c r="K402" s="539" t="s">
        <v>2299</v>
      </c>
      <c r="L402" s="20"/>
    </row>
    <row r="403" spans="1:16">
      <c r="A403" s="14" t="s">
        <v>31</v>
      </c>
      <c r="D403" s="18">
        <v>9</v>
      </c>
      <c r="E403" s="26" t="str">
        <f t="shared" si="72"/>
        <v>-</v>
      </c>
      <c r="F403" s="311"/>
      <c r="G403" s="307" t="str">
        <f t="shared" si="73"/>
        <v>-</v>
      </c>
      <c r="H403" s="351">
        <f t="shared" si="74"/>
        <v>0</v>
      </c>
      <c r="I403" s="537" t="str">
        <f t="shared" si="75"/>
        <v>-</v>
      </c>
      <c r="J403" s="538">
        <f t="shared" si="76"/>
        <v>0</v>
      </c>
      <c r="K403" s="539" t="s">
        <v>2299</v>
      </c>
      <c r="L403" s="20"/>
    </row>
    <row r="404" spans="1:16">
      <c r="A404" s="14" t="s">
        <v>31</v>
      </c>
      <c r="D404" s="18">
        <v>10</v>
      </c>
      <c r="E404" s="26" t="str">
        <f t="shared" si="72"/>
        <v>-</v>
      </c>
      <c r="F404" s="311"/>
      <c r="G404" s="307" t="str">
        <f t="shared" si="73"/>
        <v>-</v>
      </c>
      <c r="H404" s="351">
        <f t="shared" si="74"/>
        <v>0</v>
      </c>
      <c r="I404" s="537" t="str">
        <f t="shared" si="75"/>
        <v>-</v>
      </c>
      <c r="J404" s="538">
        <f t="shared" si="76"/>
        <v>0</v>
      </c>
      <c r="K404" s="539" t="s">
        <v>2299</v>
      </c>
      <c r="L404" s="20"/>
    </row>
    <row r="405" spans="1:16">
      <c r="A405" s="14" t="s">
        <v>31</v>
      </c>
      <c r="D405" s="18">
        <v>11</v>
      </c>
      <c r="E405" s="26" t="str">
        <f t="shared" si="72"/>
        <v>-</v>
      </c>
      <c r="F405" s="311"/>
      <c r="G405" s="307" t="str">
        <f t="shared" si="73"/>
        <v>-</v>
      </c>
      <c r="H405" s="351">
        <f t="shared" si="74"/>
        <v>0</v>
      </c>
      <c r="I405" s="537" t="str">
        <f t="shared" si="75"/>
        <v>-</v>
      </c>
      <c r="J405" s="538">
        <f t="shared" si="76"/>
        <v>0</v>
      </c>
      <c r="K405" s="539" t="s">
        <v>2299</v>
      </c>
      <c r="L405" s="20"/>
    </row>
    <row r="406" spans="1:16">
      <c r="A406" s="14" t="s">
        <v>31</v>
      </c>
      <c r="D406" s="18">
        <v>12</v>
      </c>
      <c r="E406" s="26" t="str">
        <f t="shared" si="72"/>
        <v>-</v>
      </c>
      <c r="F406" s="311"/>
      <c r="G406" s="307" t="str">
        <f t="shared" si="73"/>
        <v>-</v>
      </c>
      <c r="H406" s="352">
        <f t="shared" si="74"/>
        <v>0</v>
      </c>
      <c r="I406" s="537" t="str">
        <f t="shared" si="75"/>
        <v>-</v>
      </c>
      <c r="J406" s="538">
        <f t="shared" si="76"/>
        <v>0</v>
      </c>
      <c r="K406" s="539" t="s">
        <v>2299</v>
      </c>
      <c r="L406" s="20"/>
    </row>
    <row r="407" spans="1:16">
      <c r="A407" s="14" t="s">
        <v>31</v>
      </c>
      <c r="D407" s="18">
        <v>13</v>
      </c>
      <c r="E407" s="26" t="str">
        <f t="shared" si="72"/>
        <v>-</v>
      </c>
      <c r="F407" s="311"/>
      <c r="G407" s="307" t="str">
        <f t="shared" si="73"/>
        <v>-</v>
      </c>
      <c r="H407" s="352">
        <f t="shared" si="74"/>
        <v>0</v>
      </c>
      <c r="I407" s="537" t="str">
        <f t="shared" si="75"/>
        <v>-</v>
      </c>
      <c r="J407" s="538">
        <f t="shared" si="76"/>
        <v>0</v>
      </c>
      <c r="K407" s="539" t="s">
        <v>2299</v>
      </c>
      <c r="L407" s="20"/>
    </row>
    <row r="408" spans="1:16">
      <c r="A408" s="14" t="s">
        <v>31</v>
      </c>
      <c r="D408" s="18">
        <v>14</v>
      </c>
      <c r="E408" s="26" t="str">
        <f t="shared" si="72"/>
        <v>-</v>
      </c>
      <c r="F408" s="311"/>
      <c r="G408" s="307" t="str">
        <f t="shared" si="73"/>
        <v>-</v>
      </c>
      <c r="H408" s="352">
        <f t="shared" si="74"/>
        <v>0</v>
      </c>
      <c r="I408" s="537" t="str">
        <f t="shared" si="75"/>
        <v>-</v>
      </c>
      <c r="J408" s="538">
        <f t="shared" si="76"/>
        <v>0</v>
      </c>
      <c r="K408" s="539" t="s">
        <v>2299</v>
      </c>
      <c r="L408" s="20"/>
    </row>
    <row r="409" spans="1:16">
      <c r="A409" s="14" t="s">
        <v>31</v>
      </c>
      <c r="D409" s="18">
        <v>15</v>
      </c>
      <c r="E409" s="26" t="str">
        <f t="shared" si="72"/>
        <v>-</v>
      </c>
      <c r="F409" s="311"/>
      <c r="G409" s="307" t="str">
        <f t="shared" si="73"/>
        <v>-</v>
      </c>
      <c r="H409" s="352">
        <f t="shared" si="74"/>
        <v>0</v>
      </c>
      <c r="I409" s="537" t="str">
        <f t="shared" si="75"/>
        <v>-</v>
      </c>
      <c r="J409" s="538">
        <f t="shared" si="76"/>
        <v>0</v>
      </c>
      <c r="K409" s="539" t="s">
        <v>2299</v>
      </c>
      <c r="L409" s="20"/>
    </row>
    <row r="410" spans="1:16">
      <c r="A410" s="14" t="s">
        <v>31</v>
      </c>
      <c r="D410" s="18">
        <v>16</v>
      </c>
      <c r="E410" s="26" t="str">
        <f t="shared" si="72"/>
        <v>-</v>
      </c>
      <c r="F410" s="311"/>
      <c r="G410" s="307" t="str">
        <f t="shared" si="73"/>
        <v>-</v>
      </c>
      <c r="H410" s="352">
        <f t="shared" si="74"/>
        <v>0</v>
      </c>
      <c r="I410" s="537" t="str">
        <f t="shared" si="75"/>
        <v>-</v>
      </c>
      <c r="J410" s="538">
        <f t="shared" si="76"/>
        <v>0</v>
      </c>
      <c r="K410" s="539" t="s">
        <v>2299</v>
      </c>
      <c r="L410" s="20"/>
    </row>
    <row r="411" spans="1:16">
      <c r="A411" s="14" t="s">
        <v>31</v>
      </c>
      <c r="D411" s="18">
        <v>17</v>
      </c>
      <c r="E411" s="26" t="str">
        <f t="shared" si="72"/>
        <v>-</v>
      </c>
      <c r="F411" s="311"/>
      <c r="G411" s="307" t="str">
        <f t="shared" si="73"/>
        <v>-</v>
      </c>
      <c r="H411" s="352">
        <f t="shared" si="74"/>
        <v>0</v>
      </c>
      <c r="I411" s="537" t="str">
        <f t="shared" si="75"/>
        <v>-</v>
      </c>
      <c r="J411" s="538">
        <f t="shared" si="76"/>
        <v>0</v>
      </c>
      <c r="K411" s="539" t="s">
        <v>2299</v>
      </c>
      <c r="L411" s="20"/>
    </row>
    <row r="412" spans="1:16">
      <c r="A412" s="14" t="s">
        <v>31</v>
      </c>
      <c r="D412" s="18">
        <v>18</v>
      </c>
      <c r="E412" s="26" t="str">
        <f t="shared" si="72"/>
        <v>-</v>
      </c>
      <c r="F412" s="311"/>
      <c r="G412" s="307" t="str">
        <f t="shared" si="73"/>
        <v>-</v>
      </c>
      <c r="H412" s="352">
        <f t="shared" si="74"/>
        <v>0</v>
      </c>
      <c r="I412" s="537" t="str">
        <f t="shared" si="75"/>
        <v>-</v>
      </c>
      <c r="J412" s="538">
        <f t="shared" si="76"/>
        <v>0</v>
      </c>
      <c r="K412" s="539" t="s">
        <v>2299</v>
      </c>
      <c r="L412" s="20"/>
    </row>
    <row r="413" spans="1:16">
      <c r="A413" s="14" t="s">
        <v>31</v>
      </c>
      <c r="D413" s="18">
        <v>19</v>
      </c>
      <c r="E413" s="26" t="str">
        <f t="shared" si="72"/>
        <v>-</v>
      </c>
      <c r="F413" s="311"/>
      <c r="G413" s="307" t="str">
        <f t="shared" si="73"/>
        <v>-</v>
      </c>
      <c r="H413" s="352">
        <f t="shared" si="74"/>
        <v>0</v>
      </c>
      <c r="I413" s="537" t="str">
        <f t="shared" si="75"/>
        <v>-</v>
      </c>
      <c r="J413" s="538">
        <f t="shared" si="76"/>
        <v>0</v>
      </c>
      <c r="K413" s="539" t="s">
        <v>2299</v>
      </c>
      <c r="L413" s="20"/>
    </row>
    <row r="414" spans="1:16">
      <c r="A414" s="14" t="s">
        <v>31</v>
      </c>
      <c r="D414" s="18">
        <v>20</v>
      </c>
      <c r="E414" s="26" t="str">
        <f t="shared" si="72"/>
        <v>-</v>
      </c>
      <c r="F414" s="311"/>
      <c r="G414" s="307" t="str">
        <f t="shared" si="73"/>
        <v>-</v>
      </c>
      <c r="H414" s="352">
        <f t="shared" si="74"/>
        <v>0</v>
      </c>
      <c r="I414" s="537" t="str">
        <f t="shared" si="75"/>
        <v>-</v>
      </c>
      <c r="J414" s="541">
        <f t="shared" si="76"/>
        <v>0</v>
      </c>
      <c r="K414" s="539" t="s">
        <v>2299</v>
      </c>
      <c r="L414" s="20"/>
    </row>
    <row r="415" spans="1:16">
      <c r="A415" s="14">
        <f>A382+1</f>
        <v>9</v>
      </c>
      <c r="B415" s="14" t="str">
        <f>"MA" &amp; TEXT(A415,"##000")</f>
        <v>MA009</v>
      </c>
      <c r="D415" s="18"/>
      <c r="E415" s="591" t="s">
        <v>2302</v>
      </c>
      <c r="F415" s="592"/>
      <c r="G415" s="592"/>
      <c r="H415" s="592"/>
      <c r="I415" s="327"/>
      <c r="J415" s="353">
        <f>SUM(J395:J414)</f>
        <v>1898.4003528862499</v>
      </c>
      <c r="K415" s="365" t="str">
        <f>+F392</f>
        <v>m3</v>
      </c>
      <c r="L415" s="20"/>
      <c r="O415" s="27" t="s">
        <v>1525</v>
      </c>
      <c r="P415" s="110">
        <v>350</v>
      </c>
    </row>
    <row r="416" spans="1:16">
      <c r="D416" s="18"/>
      <c r="E416" s="593" t="s">
        <v>100</v>
      </c>
      <c r="F416" s="594"/>
      <c r="G416" s="594"/>
      <c r="H416" s="594"/>
      <c r="I416" s="594"/>
      <c r="J416" s="595"/>
      <c r="K416" s="347"/>
      <c r="L416" s="20"/>
      <c r="O416" s="27" t="s">
        <v>1524</v>
      </c>
      <c r="P416" s="110">
        <f>+F400*10</f>
        <v>100</v>
      </c>
    </row>
    <row r="417" spans="1:19">
      <c r="A417" s="14" t="s">
        <v>84</v>
      </c>
      <c r="D417" s="18">
        <v>1</v>
      </c>
      <c r="E417" s="26" t="str">
        <f>VLOOKUP($A417,MATMO,2,FALSE)</f>
        <v>Oficial</v>
      </c>
      <c r="F417" s="311">
        <v>7.5</v>
      </c>
      <c r="G417" s="307" t="str">
        <f>VLOOKUP($A417,MATMO,3,FALSE)</f>
        <v>hs</v>
      </c>
      <c r="H417" s="110">
        <f>VLOOKUP($A417,MATMO,4,FALSE)*$Q$7</f>
        <v>55.38</v>
      </c>
      <c r="I417" s="354" t="str">
        <f t="shared" ref="I417:I421" si="77">+G417</f>
        <v>hs</v>
      </c>
      <c r="J417" s="350">
        <f t="shared" ref="J417:J421" si="78">+H417*F417</f>
        <v>415.35</v>
      </c>
      <c r="K417" s="360" t="s">
        <v>2299</v>
      </c>
      <c r="L417" s="20"/>
      <c r="M417" s="14" t="s">
        <v>2006</v>
      </c>
      <c r="O417" s="27" t="s">
        <v>1526</v>
      </c>
      <c r="P417" s="110">
        <v>0</v>
      </c>
    </row>
    <row r="418" spans="1:19">
      <c r="A418" s="14" t="s">
        <v>85</v>
      </c>
      <c r="D418" s="18">
        <v>2</v>
      </c>
      <c r="E418" s="26" t="str">
        <f>VLOOKUP($A418,MATMO,2,FALSE)</f>
        <v>Ayudante</v>
      </c>
      <c r="F418" s="311">
        <v>0.5</v>
      </c>
      <c r="G418" s="307" t="str">
        <f>VLOOKUP($A418,MATMO,3,FALSE)</f>
        <v>hs</v>
      </c>
      <c r="H418" s="110">
        <f>VLOOKUP($A418,MATMO,4,FALSE)*$Q$7</f>
        <v>46.87</v>
      </c>
      <c r="I418" s="354" t="str">
        <f t="shared" si="77"/>
        <v>hs</v>
      </c>
      <c r="J418" s="350">
        <f t="shared" si="78"/>
        <v>23.434999999999999</v>
      </c>
      <c r="K418" s="360" t="s">
        <v>2299</v>
      </c>
      <c r="L418" s="20"/>
      <c r="O418" s="27" t="s">
        <v>1527</v>
      </c>
      <c r="P418" s="110">
        <v>0</v>
      </c>
    </row>
    <row r="419" spans="1:19">
      <c r="A419" s="14" t="s">
        <v>2311</v>
      </c>
      <c r="D419" s="18">
        <v>3</v>
      </c>
      <c r="E419" s="26" t="str">
        <f>VLOOKUP($A419,MATMO,2,FALSE)</f>
        <v>Cargas Sociales Oficial</v>
      </c>
      <c r="F419" s="311">
        <f>+F417</f>
        <v>7.5</v>
      </c>
      <c r="G419" s="307" t="str">
        <f>VLOOKUP($A419,MATMO,3,FALSE)</f>
        <v>hs</v>
      </c>
      <c r="H419" s="110">
        <f>VLOOKUP($A419,MATMO,4,FALSE)*$Q$7</f>
        <v>52.742782499999997</v>
      </c>
      <c r="I419" s="354" t="str">
        <f t="shared" si="77"/>
        <v>hs</v>
      </c>
      <c r="J419" s="350">
        <f t="shared" si="78"/>
        <v>395.57086874999999</v>
      </c>
      <c r="K419" s="360" t="s">
        <v>2299</v>
      </c>
      <c r="L419" s="20"/>
      <c r="O419" s="27"/>
      <c r="P419" s="110">
        <v>0</v>
      </c>
    </row>
    <row r="420" spans="1:19">
      <c r="A420" s="14" t="s">
        <v>2312</v>
      </c>
      <c r="D420" s="18">
        <v>4</v>
      </c>
      <c r="E420" s="26" t="str">
        <f>VLOOKUP($A420,MATMO,2,FALSE)</f>
        <v>Cargas Sociales Ayudante</v>
      </c>
      <c r="F420" s="311">
        <f>+F418</f>
        <v>0.5</v>
      </c>
      <c r="G420" s="307" t="str">
        <f>VLOOKUP($A420,MATMO,3,FALSE)</f>
        <v>hs</v>
      </c>
      <c r="H420" s="110">
        <f>VLOOKUP($A420,MATMO,4,FALSE)*$Q$7</f>
        <v>45.108248750000001</v>
      </c>
      <c r="I420" s="354" t="str">
        <f t="shared" si="77"/>
        <v>hs</v>
      </c>
      <c r="J420" s="350">
        <f t="shared" si="78"/>
        <v>22.554124375000001</v>
      </c>
      <c r="K420" s="360" t="s">
        <v>2299</v>
      </c>
      <c r="L420" s="20"/>
      <c r="O420" s="27"/>
      <c r="P420" s="110">
        <v>0</v>
      </c>
    </row>
    <row r="421" spans="1:19" ht="16.5" thickBot="1">
      <c r="A421" s="14" t="s">
        <v>83</v>
      </c>
      <c r="D421" s="18">
        <v>5</v>
      </c>
      <c r="E421" s="26" t="str">
        <f>VLOOKUP($A421,MATMO,2,FALSE)</f>
        <v>-</v>
      </c>
      <c r="F421" s="311"/>
      <c r="G421" s="307" t="str">
        <f>VLOOKUP($A421,MATMO,3,FALSE)</f>
        <v>-</v>
      </c>
      <c r="H421" s="110">
        <f>VLOOKUP($A421,MATMO,4,FALSE)*$Q$7</f>
        <v>0</v>
      </c>
      <c r="I421" s="537" t="str">
        <f t="shared" si="77"/>
        <v>-</v>
      </c>
      <c r="J421" s="538">
        <f t="shared" si="78"/>
        <v>0</v>
      </c>
      <c r="K421" s="539" t="s">
        <v>2299</v>
      </c>
      <c r="L421" s="20"/>
      <c r="O421" s="27"/>
      <c r="P421" s="110">
        <v>0</v>
      </c>
      <c r="R421" s="29" t="s">
        <v>2307</v>
      </c>
    </row>
    <row r="422" spans="1:19" ht="16.5" thickBot="1">
      <c r="A422" s="14">
        <f>A382+1</f>
        <v>9</v>
      </c>
      <c r="B422" s="14" t="str">
        <f>"MO" &amp; TEXT(A422,"##000")</f>
        <v>MO009</v>
      </c>
      <c r="D422" s="18"/>
      <c r="E422" s="591" t="s">
        <v>2301</v>
      </c>
      <c r="F422" s="592"/>
      <c r="G422" s="592"/>
      <c r="H422" s="592"/>
      <c r="I422" s="327"/>
      <c r="J422" s="362">
        <f>SUM(J417:J421)</f>
        <v>856.90999312500003</v>
      </c>
      <c r="K422" s="365" t="str">
        <f>+G417</f>
        <v>hs</v>
      </c>
      <c r="L422" s="20"/>
      <c r="N422" s="111">
        <f>+P422+R422</f>
        <v>855</v>
      </c>
      <c r="O422" s="27"/>
      <c r="P422" s="27">
        <f>SUM(P415:P421)</f>
        <v>450</v>
      </c>
      <c r="Q422" s="26">
        <v>0.9</v>
      </c>
      <c r="R422" s="287">
        <f>+Q422*P422</f>
        <v>405</v>
      </c>
      <c r="S422" s="288"/>
    </row>
    <row r="423" spans="1:19">
      <c r="D423" s="18"/>
      <c r="E423" s="593" t="s">
        <v>101</v>
      </c>
      <c r="F423" s="594"/>
      <c r="G423" s="594"/>
      <c r="H423" s="594"/>
      <c r="I423" s="594"/>
      <c r="J423" s="595"/>
      <c r="K423" s="347"/>
      <c r="L423" s="20"/>
      <c r="P423" s="14" t="s">
        <v>2308</v>
      </c>
    </row>
    <row r="424" spans="1:19">
      <c r="A424" s="14" t="s">
        <v>119</v>
      </c>
      <c r="D424" s="18">
        <v>1</v>
      </c>
      <c r="E424" s="26" t="str">
        <f>VLOOKUP($A424,MATMO,2,FALSE)</f>
        <v>Herramientas de Mano</v>
      </c>
      <c r="F424" s="311">
        <v>1</v>
      </c>
      <c r="G424" s="307" t="str">
        <f>VLOOKUP($A424,MATMO,3,FALSE)</f>
        <v>gl</v>
      </c>
      <c r="H424" s="110">
        <f>+(J415+J422)*$Q$5</f>
        <v>110.21241384045</v>
      </c>
      <c r="I424" s="345" t="str">
        <f>+G424</f>
        <v>gl</v>
      </c>
      <c r="J424" s="350">
        <f t="shared" ref="J424:J428" si="79">+H424*F424</f>
        <v>110.21241384045</v>
      </c>
      <c r="K424" s="360" t="s">
        <v>2299</v>
      </c>
      <c r="L424" s="20"/>
      <c r="M424" s="14" t="s">
        <v>2004</v>
      </c>
    </row>
    <row r="425" spans="1:19">
      <c r="A425" s="14" t="s">
        <v>134</v>
      </c>
      <c r="D425" s="18">
        <v>2</v>
      </c>
      <c r="E425" s="26" t="str">
        <f>VLOOKUP($A425,MATMO,2,FALSE)</f>
        <v>Retroexcavadora</v>
      </c>
      <c r="F425" s="311">
        <v>0.1</v>
      </c>
      <c r="G425" s="307" t="str">
        <f>VLOOKUP($A425,MATMO,3,FALSE)</f>
        <v>hs</v>
      </c>
      <c r="H425" s="110">
        <f>VLOOKUP($A425,MATMO,4,FALSE)*$Q$6</f>
        <v>450</v>
      </c>
      <c r="I425" s="345" t="str">
        <f t="shared" ref="I425:I428" si="80">+G425</f>
        <v>hs</v>
      </c>
      <c r="J425" s="350">
        <f t="shared" si="79"/>
        <v>45</v>
      </c>
      <c r="K425" s="360" t="s">
        <v>2299</v>
      </c>
      <c r="L425" s="20"/>
    </row>
    <row r="426" spans="1:19">
      <c r="A426" s="14" t="s">
        <v>118</v>
      </c>
      <c r="D426" s="18">
        <v>3</v>
      </c>
      <c r="E426" s="26" t="str">
        <f>VLOOKUP($A426,MATMO,2,FALSE)</f>
        <v>-</v>
      </c>
      <c r="F426" s="311"/>
      <c r="G426" s="307" t="str">
        <f>VLOOKUP($A426,MATMO,3,FALSE)</f>
        <v>-</v>
      </c>
      <c r="H426" s="110">
        <f>VLOOKUP($A426,MATMO,4,FALSE)*$Q$6</f>
        <v>0</v>
      </c>
      <c r="I426" s="543" t="str">
        <f t="shared" si="80"/>
        <v>-</v>
      </c>
      <c r="J426" s="538">
        <f t="shared" si="79"/>
        <v>0</v>
      </c>
      <c r="K426" s="539" t="s">
        <v>2299</v>
      </c>
      <c r="L426" s="20"/>
    </row>
    <row r="427" spans="1:19">
      <c r="A427" s="14" t="s">
        <v>118</v>
      </c>
      <c r="D427" s="18">
        <v>4</v>
      </c>
      <c r="E427" s="26" t="str">
        <f>VLOOKUP($A427,MATMO,2,FALSE)</f>
        <v>-</v>
      </c>
      <c r="F427" s="311"/>
      <c r="G427" s="307" t="str">
        <f>VLOOKUP($A427,MATMO,3,FALSE)</f>
        <v>-</v>
      </c>
      <c r="H427" s="110">
        <f>VLOOKUP($A427,MATMO,4,FALSE)*$Q$6</f>
        <v>0</v>
      </c>
      <c r="I427" s="543" t="str">
        <f t="shared" si="80"/>
        <v>-</v>
      </c>
      <c r="J427" s="538">
        <f t="shared" si="79"/>
        <v>0</v>
      </c>
      <c r="K427" s="539" t="s">
        <v>2299</v>
      </c>
      <c r="L427" s="20"/>
    </row>
    <row r="428" spans="1:19">
      <c r="A428" s="14" t="s">
        <v>118</v>
      </c>
      <c r="D428" s="18">
        <v>5</v>
      </c>
      <c r="E428" s="26" t="str">
        <f>VLOOKUP($A428,MATMO,2,FALSE)</f>
        <v>-</v>
      </c>
      <c r="F428" s="311"/>
      <c r="G428" s="307" t="str">
        <f>VLOOKUP($A428,MATMO,3,FALSE)</f>
        <v>-</v>
      </c>
      <c r="H428" s="110">
        <f>VLOOKUP($A428,MATMO,4,FALSE)*$Q$6</f>
        <v>0</v>
      </c>
      <c r="I428" s="543" t="str">
        <f t="shared" si="80"/>
        <v>-</v>
      </c>
      <c r="J428" s="538">
        <f t="shared" si="79"/>
        <v>0</v>
      </c>
      <c r="K428" s="539" t="s">
        <v>2299</v>
      </c>
      <c r="L428" s="20"/>
    </row>
    <row r="429" spans="1:19">
      <c r="A429" s="14">
        <f>A382+1</f>
        <v>9</v>
      </c>
      <c r="B429" s="14" t="str">
        <f>"E" &amp; TEXT(A429,"##000")</f>
        <v>E009</v>
      </c>
      <c r="D429" s="18"/>
      <c r="E429" s="591" t="s">
        <v>2300</v>
      </c>
      <c r="F429" s="592"/>
      <c r="G429" s="592"/>
      <c r="H429" s="592"/>
      <c r="I429" s="327"/>
      <c r="J429" s="362">
        <f>SUM(J424:J428)</f>
        <v>155.21241384044998</v>
      </c>
      <c r="K429" s="365" t="s">
        <v>116</v>
      </c>
      <c r="L429" s="20"/>
    </row>
    <row r="430" spans="1:19">
      <c r="D430" s="18"/>
      <c r="E430" s="596"/>
      <c r="F430" s="597"/>
      <c r="G430" s="597"/>
      <c r="H430" s="597"/>
      <c r="I430" s="597"/>
      <c r="J430" s="598"/>
      <c r="K430" s="348"/>
      <c r="L430" s="20"/>
    </row>
    <row r="431" spans="1:19">
      <c r="D431" s="18"/>
      <c r="E431" s="591" t="s">
        <v>2306</v>
      </c>
      <c r="F431" s="592"/>
      <c r="G431" s="592"/>
      <c r="H431" s="592"/>
      <c r="I431" s="327"/>
      <c r="J431" s="308">
        <f>+J429+J422+J415</f>
        <v>2910.5227598516999</v>
      </c>
      <c r="K431" s="365" t="str">
        <f>+F392</f>
        <v>m3</v>
      </c>
      <c r="L431" s="20"/>
    </row>
    <row r="432" spans="1:19">
      <c r="D432" s="18"/>
      <c r="E432" s="591" t="s">
        <v>2305</v>
      </c>
      <c r="F432" s="592"/>
      <c r="G432" s="592"/>
      <c r="H432" s="592"/>
      <c r="I432" s="406">
        <f>+$Q$9</f>
        <v>1.6902999999999999</v>
      </c>
      <c r="J432" s="308">
        <f>+$Q$9*J431</f>
        <v>4919.6566209773282</v>
      </c>
      <c r="K432" s="365" t="str">
        <f>+F392</f>
        <v>m3</v>
      </c>
      <c r="L432" s="20"/>
    </row>
    <row r="433" spans="1:13">
      <c r="A433" s="14">
        <f>A386+1</f>
        <v>9</v>
      </c>
      <c r="B433" s="14" t="str">
        <f>"TR" &amp; TEXT(A433,"##000")</f>
        <v>TR009</v>
      </c>
      <c r="C433" s="14">
        <f>+C386+1</f>
        <v>9</v>
      </c>
      <c r="D433" s="18"/>
      <c r="E433" s="591" t="s">
        <v>2304</v>
      </c>
      <c r="F433" s="592"/>
      <c r="G433" s="592"/>
      <c r="H433" s="592"/>
      <c r="I433" s="327"/>
      <c r="J433" s="308">
        <f>+J432</f>
        <v>4919.6566209773282</v>
      </c>
      <c r="K433" s="365" t="str">
        <f>+F392</f>
        <v>m3</v>
      </c>
      <c r="L433" s="20"/>
    </row>
    <row r="434" spans="1:13" ht="16.5" thickBot="1">
      <c r="D434" s="21"/>
      <c r="E434" s="30"/>
      <c r="F434" s="30"/>
      <c r="G434" s="30"/>
      <c r="H434" s="30"/>
      <c r="I434" s="30"/>
      <c r="J434" s="30"/>
      <c r="K434" s="349"/>
      <c r="L434" s="22"/>
    </row>
    <row r="435" spans="1:13" ht="16.5" thickTop="1">
      <c r="D435" s="15"/>
      <c r="E435" s="16"/>
      <c r="F435" s="16"/>
      <c r="G435" s="16"/>
      <c r="H435" s="16"/>
      <c r="I435" s="16"/>
      <c r="J435" s="16"/>
      <c r="K435" s="16"/>
      <c r="L435" s="17"/>
    </row>
    <row r="436" spans="1:13">
      <c r="A436" s="14" t="s">
        <v>1823</v>
      </c>
      <c r="D436" s="18"/>
      <c r="E436" s="23" t="s">
        <v>95</v>
      </c>
      <c r="F436" s="24" t="str">
        <f>VLOOKUP($A436,DATRUB,3,FALSE)</f>
        <v>RUBRO III:</v>
      </c>
      <c r="G436" s="599" t="str">
        <f>VLOOKUP($A436,DATRUB,4,FALSE)</f>
        <v xml:space="preserve"> ESTRUCTURA RESISTENTE</v>
      </c>
      <c r="H436" s="599"/>
      <c r="I436" s="599"/>
      <c r="J436" s="599"/>
      <c r="K436" s="599"/>
      <c r="L436" s="20"/>
    </row>
    <row r="437" spans="1:13" ht="35.1" customHeight="1">
      <c r="A437" s="14" t="s">
        <v>1827</v>
      </c>
      <c r="D437" s="18"/>
      <c r="E437" s="23" t="s">
        <v>96</v>
      </c>
      <c r="F437" s="399">
        <f>VLOOKUP($A437,DATRUB,3,FALSE)</f>
        <v>3.3</v>
      </c>
      <c r="G437" s="599" t="str">
        <f>VLOOKUP($A437,DATRUB,4,FALSE)</f>
        <v>Bases de Columnas</v>
      </c>
      <c r="H437" s="599"/>
      <c r="I437" s="599"/>
      <c r="J437" s="599"/>
      <c r="K437" s="599"/>
      <c r="L437" s="20"/>
    </row>
    <row r="438" spans="1:13" ht="35.1" customHeight="1">
      <c r="A438" s="14" t="s">
        <v>1827</v>
      </c>
      <c r="D438" s="18"/>
      <c r="E438" s="23" t="s">
        <v>97</v>
      </c>
      <c r="F438" s="399">
        <f>VLOOKUP($A438,DATRUB,3,FALSE)</f>
        <v>3.3</v>
      </c>
      <c r="G438" s="599" t="str">
        <f>VLOOKUP($A438,DATRUB,4,FALSE)</f>
        <v>Bases de Columnas</v>
      </c>
      <c r="H438" s="599"/>
      <c r="I438" s="599"/>
      <c r="J438" s="599"/>
      <c r="K438" s="599"/>
      <c r="L438" s="20"/>
    </row>
    <row r="439" spans="1:13">
      <c r="D439" s="18"/>
      <c r="E439" s="23" t="s">
        <v>98</v>
      </c>
      <c r="F439" s="24" t="str">
        <f>VLOOKUP($A438,DATRUB,5,FALSE)</f>
        <v>m3</v>
      </c>
      <c r="G439" s="600"/>
      <c r="H439" s="600"/>
      <c r="I439" s="600"/>
      <c r="J439" s="600"/>
      <c r="K439" s="600"/>
      <c r="L439" s="20"/>
    </row>
    <row r="440" spans="1:13">
      <c r="D440" s="18"/>
      <c r="E440" s="24" t="s">
        <v>1158</v>
      </c>
      <c r="F440" s="25" t="s">
        <v>1250</v>
      </c>
      <c r="G440" s="24" t="s">
        <v>24</v>
      </c>
      <c r="H440" s="24" t="s">
        <v>25</v>
      </c>
      <c r="I440" s="24" t="s">
        <v>24</v>
      </c>
      <c r="J440" s="24" t="s">
        <v>2298</v>
      </c>
      <c r="K440" s="24" t="s">
        <v>24</v>
      </c>
      <c r="L440" s="20"/>
    </row>
    <row r="441" spans="1:13">
      <c r="D441" s="18"/>
      <c r="E441" s="593" t="s">
        <v>99</v>
      </c>
      <c r="F441" s="594"/>
      <c r="G441" s="594"/>
      <c r="H441" s="594"/>
      <c r="I441" s="594"/>
      <c r="J441" s="594"/>
      <c r="K441" s="595"/>
      <c r="L441" s="20"/>
    </row>
    <row r="442" spans="1:13">
      <c r="A442" s="14" t="s">
        <v>2433</v>
      </c>
      <c r="D442" s="18">
        <v>1</v>
      </c>
      <c r="E442" s="409" t="str">
        <f t="shared" ref="E442:E461" si="81">VLOOKUP($A442,MATMO,2,FALSE)</f>
        <v>Hormigón Elaborado 4</v>
      </c>
      <c r="F442" s="356">
        <v>1.1000000000000001</v>
      </c>
      <c r="G442" s="357" t="str">
        <f t="shared" ref="G442:G461" si="82">VLOOKUP($A442,MATMO,3,FALSE)</f>
        <v>m³</v>
      </c>
      <c r="H442" s="358">
        <f t="shared" ref="H442:H461" si="83">VLOOKUP($A442,MATMO,4,FALSE)*$Q$6</f>
        <v>1421</v>
      </c>
      <c r="I442" s="359" t="str">
        <f t="shared" ref="I442:I461" si="84">+G442</f>
        <v>m³</v>
      </c>
      <c r="J442" s="361">
        <f>+H442*F442</f>
        <v>1563.1000000000001</v>
      </c>
      <c r="K442" s="360" t="s">
        <v>2299</v>
      </c>
      <c r="L442" s="20"/>
      <c r="M442" s="14" t="s">
        <v>2005</v>
      </c>
    </row>
    <row r="443" spans="1:13">
      <c r="A443" s="14" t="s">
        <v>208</v>
      </c>
      <c r="D443" s="18">
        <v>2</v>
      </c>
      <c r="E443" s="26" t="str">
        <f t="shared" si="81"/>
        <v>Alambre N° 14</v>
      </c>
      <c r="F443" s="311">
        <v>2.5</v>
      </c>
      <c r="G443" s="307" t="str">
        <f t="shared" si="82"/>
        <v>kg</v>
      </c>
      <c r="H443" s="351">
        <f t="shared" si="83"/>
        <v>24.334</v>
      </c>
      <c r="I443" s="354" t="str">
        <f t="shared" si="84"/>
        <v>kg</v>
      </c>
      <c r="J443" s="350">
        <f t="shared" ref="J443:J461" si="85">+H443*F443</f>
        <v>60.835000000000001</v>
      </c>
      <c r="K443" s="360" t="s">
        <v>2299</v>
      </c>
      <c r="L443" s="20"/>
    </row>
    <row r="444" spans="1:13">
      <c r="A444" s="14" t="s">
        <v>204</v>
      </c>
      <c r="D444" s="18">
        <v>3</v>
      </c>
      <c r="E444" s="26" t="str">
        <f t="shared" si="81"/>
        <v>Hierro</v>
      </c>
      <c r="F444" s="416">
        <v>20</v>
      </c>
      <c r="G444" s="307" t="str">
        <f t="shared" si="82"/>
        <v>kg</v>
      </c>
      <c r="H444" s="351">
        <f t="shared" si="83"/>
        <v>15.588335288624991</v>
      </c>
      <c r="I444" s="354" t="str">
        <f t="shared" si="84"/>
        <v>kg</v>
      </c>
      <c r="J444" s="350">
        <f t="shared" si="85"/>
        <v>311.76670577249985</v>
      </c>
      <c r="K444" s="360" t="s">
        <v>2299</v>
      </c>
      <c r="L444" s="20"/>
    </row>
    <row r="445" spans="1:13">
      <c r="A445" s="14" t="s">
        <v>31</v>
      </c>
      <c r="D445" s="18">
        <v>4</v>
      </c>
      <c r="E445" s="26" t="str">
        <f t="shared" si="81"/>
        <v>-</v>
      </c>
      <c r="F445" s="311"/>
      <c r="G445" s="307" t="str">
        <f t="shared" si="82"/>
        <v>-</v>
      </c>
      <c r="H445" s="351">
        <f t="shared" si="83"/>
        <v>0</v>
      </c>
      <c r="I445" s="537" t="str">
        <f t="shared" si="84"/>
        <v>-</v>
      </c>
      <c r="J445" s="538">
        <f t="shared" si="85"/>
        <v>0</v>
      </c>
      <c r="K445" s="539" t="s">
        <v>2299</v>
      </c>
      <c r="L445" s="20"/>
    </row>
    <row r="446" spans="1:13">
      <c r="A446" s="14" t="s">
        <v>31</v>
      </c>
      <c r="D446" s="18">
        <v>5</v>
      </c>
      <c r="E446" s="26" t="str">
        <f t="shared" si="81"/>
        <v>-</v>
      </c>
      <c r="F446" s="311"/>
      <c r="G446" s="307" t="str">
        <f t="shared" si="82"/>
        <v>-</v>
      </c>
      <c r="H446" s="351">
        <f t="shared" si="83"/>
        <v>0</v>
      </c>
      <c r="I446" s="537" t="str">
        <f t="shared" si="84"/>
        <v>-</v>
      </c>
      <c r="J446" s="538">
        <f t="shared" si="85"/>
        <v>0</v>
      </c>
      <c r="K446" s="539" t="s">
        <v>2299</v>
      </c>
      <c r="L446" s="20"/>
    </row>
    <row r="447" spans="1:13">
      <c r="A447" s="14" t="s">
        <v>31</v>
      </c>
      <c r="D447" s="18">
        <v>6</v>
      </c>
      <c r="E447" s="26" t="str">
        <f t="shared" si="81"/>
        <v>-</v>
      </c>
      <c r="F447" s="311"/>
      <c r="G447" s="307" t="str">
        <f t="shared" si="82"/>
        <v>-</v>
      </c>
      <c r="H447" s="351">
        <f t="shared" si="83"/>
        <v>0</v>
      </c>
      <c r="I447" s="537" t="str">
        <f t="shared" si="84"/>
        <v>-</v>
      </c>
      <c r="J447" s="538">
        <f t="shared" si="85"/>
        <v>0</v>
      </c>
      <c r="K447" s="539" t="s">
        <v>2299</v>
      </c>
      <c r="L447" s="20"/>
    </row>
    <row r="448" spans="1:13">
      <c r="A448" s="14" t="s">
        <v>31</v>
      </c>
      <c r="D448" s="18">
        <v>7</v>
      </c>
      <c r="E448" s="26" t="str">
        <f t="shared" si="81"/>
        <v>-</v>
      </c>
      <c r="F448" s="311"/>
      <c r="G448" s="307" t="str">
        <f t="shared" si="82"/>
        <v>-</v>
      </c>
      <c r="H448" s="351">
        <f t="shared" si="83"/>
        <v>0</v>
      </c>
      <c r="I448" s="537" t="str">
        <f t="shared" si="84"/>
        <v>-</v>
      </c>
      <c r="J448" s="538">
        <f t="shared" si="85"/>
        <v>0</v>
      </c>
      <c r="K448" s="539" t="s">
        <v>2299</v>
      </c>
      <c r="L448" s="20"/>
    </row>
    <row r="449" spans="1:16">
      <c r="A449" s="14" t="s">
        <v>31</v>
      </c>
      <c r="D449" s="18">
        <v>8</v>
      </c>
      <c r="E449" s="26" t="str">
        <f t="shared" si="81"/>
        <v>-</v>
      </c>
      <c r="F449" s="311"/>
      <c r="G449" s="307" t="str">
        <f t="shared" si="82"/>
        <v>-</v>
      </c>
      <c r="H449" s="351">
        <f t="shared" si="83"/>
        <v>0</v>
      </c>
      <c r="I449" s="537" t="str">
        <f t="shared" si="84"/>
        <v>-</v>
      </c>
      <c r="J449" s="538">
        <f t="shared" si="85"/>
        <v>0</v>
      </c>
      <c r="K449" s="539" t="s">
        <v>2299</v>
      </c>
      <c r="L449" s="20"/>
    </row>
    <row r="450" spans="1:16">
      <c r="A450" s="14" t="s">
        <v>31</v>
      </c>
      <c r="D450" s="18">
        <v>9</v>
      </c>
      <c r="E450" s="26" t="str">
        <f t="shared" si="81"/>
        <v>-</v>
      </c>
      <c r="F450" s="311"/>
      <c r="G450" s="307" t="str">
        <f t="shared" si="82"/>
        <v>-</v>
      </c>
      <c r="H450" s="351">
        <f t="shared" si="83"/>
        <v>0</v>
      </c>
      <c r="I450" s="537" t="str">
        <f t="shared" si="84"/>
        <v>-</v>
      </c>
      <c r="J450" s="538">
        <f t="shared" si="85"/>
        <v>0</v>
      </c>
      <c r="K450" s="539" t="s">
        <v>2299</v>
      </c>
      <c r="L450" s="20"/>
    </row>
    <row r="451" spans="1:16">
      <c r="A451" s="14" t="s">
        <v>31</v>
      </c>
      <c r="D451" s="18">
        <v>10</v>
      </c>
      <c r="E451" s="26" t="str">
        <f t="shared" si="81"/>
        <v>-</v>
      </c>
      <c r="F451" s="311"/>
      <c r="G451" s="307" t="str">
        <f t="shared" si="82"/>
        <v>-</v>
      </c>
      <c r="H451" s="351">
        <f t="shared" si="83"/>
        <v>0</v>
      </c>
      <c r="I451" s="537" t="str">
        <f t="shared" si="84"/>
        <v>-</v>
      </c>
      <c r="J451" s="538">
        <f t="shared" si="85"/>
        <v>0</v>
      </c>
      <c r="K451" s="539" t="s">
        <v>2299</v>
      </c>
      <c r="L451" s="20"/>
    </row>
    <row r="452" spans="1:16">
      <c r="A452" s="14" t="s">
        <v>31</v>
      </c>
      <c r="D452" s="18">
        <v>11</v>
      </c>
      <c r="E452" s="26" t="str">
        <f t="shared" si="81"/>
        <v>-</v>
      </c>
      <c r="F452" s="311"/>
      <c r="G452" s="307" t="str">
        <f t="shared" si="82"/>
        <v>-</v>
      </c>
      <c r="H452" s="351">
        <f t="shared" si="83"/>
        <v>0</v>
      </c>
      <c r="I452" s="537" t="str">
        <f t="shared" si="84"/>
        <v>-</v>
      </c>
      <c r="J452" s="538">
        <f t="shared" si="85"/>
        <v>0</v>
      </c>
      <c r="K452" s="539" t="s">
        <v>2299</v>
      </c>
      <c r="L452" s="20"/>
    </row>
    <row r="453" spans="1:16">
      <c r="A453" s="14" t="s">
        <v>31</v>
      </c>
      <c r="D453" s="18">
        <v>12</v>
      </c>
      <c r="E453" s="26" t="str">
        <f t="shared" si="81"/>
        <v>-</v>
      </c>
      <c r="F453" s="311"/>
      <c r="G453" s="307" t="str">
        <f t="shared" si="82"/>
        <v>-</v>
      </c>
      <c r="H453" s="352">
        <f t="shared" si="83"/>
        <v>0</v>
      </c>
      <c r="I453" s="537" t="str">
        <f t="shared" si="84"/>
        <v>-</v>
      </c>
      <c r="J453" s="538">
        <f t="shared" si="85"/>
        <v>0</v>
      </c>
      <c r="K453" s="539" t="s">
        <v>2299</v>
      </c>
      <c r="L453" s="20"/>
    </row>
    <row r="454" spans="1:16">
      <c r="A454" s="14" t="s">
        <v>31</v>
      </c>
      <c r="D454" s="18">
        <v>13</v>
      </c>
      <c r="E454" s="26" t="str">
        <f t="shared" si="81"/>
        <v>-</v>
      </c>
      <c r="F454" s="311"/>
      <c r="G454" s="307" t="str">
        <f t="shared" si="82"/>
        <v>-</v>
      </c>
      <c r="H454" s="352">
        <f t="shared" si="83"/>
        <v>0</v>
      </c>
      <c r="I454" s="537" t="str">
        <f t="shared" si="84"/>
        <v>-</v>
      </c>
      <c r="J454" s="538">
        <f t="shared" si="85"/>
        <v>0</v>
      </c>
      <c r="K454" s="539" t="s">
        <v>2299</v>
      </c>
      <c r="L454" s="20"/>
    </row>
    <row r="455" spans="1:16">
      <c r="A455" s="14" t="s">
        <v>31</v>
      </c>
      <c r="D455" s="18">
        <v>14</v>
      </c>
      <c r="E455" s="26" t="str">
        <f t="shared" si="81"/>
        <v>-</v>
      </c>
      <c r="F455" s="311"/>
      <c r="G455" s="307" t="str">
        <f t="shared" si="82"/>
        <v>-</v>
      </c>
      <c r="H455" s="352">
        <f t="shared" si="83"/>
        <v>0</v>
      </c>
      <c r="I455" s="537" t="str">
        <f t="shared" si="84"/>
        <v>-</v>
      </c>
      <c r="J455" s="538">
        <f t="shared" si="85"/>
        <v>0</v>
      </c>
      <c r="K455" s="539" t="s">
        <v>2299</v>
      </c>
      <c r="L455" s="20"/>
    </row>
    <row r="456" spans="1:16">
      <c r="A456" s="14" t="s">
        <v>31</v>
      </c>
      <c r="D456" s="18">
        <v>15</v>
      </c>
      <c r="E456" s="26" t="str">
        <f t="shared" si="81"/>
        <v>-</v>
      </c>
      <c r="F456" s="311"/>
      <c r="G456" s="307" t="str">
        <f t="shared" si="82"/>
        <v>-</v>
      </c>
      <c r="H456" s="352">
        <f t="shared" si="83"/>
        <v>0</v>
      </c>
      <c r="I456" s="537" t="str">
        <f t="shared" si="84"/>
        <v>-</v>
      </c>
      <c r="J456" s="538">
        <f t="shared" si="85"/>
        <v>0</v>
      </c>
      <c r="K456" s="539" t="s">
        <v>2299</v>
      </c>
      <c r="L456" s="20"/>
    </row>
    <row r="457" spans="1:16">
      <c r="A457" s="14" t="s">
        <v>31</v>
      </c>
      <c r="D457" s="18">
        <v>16</v>
      </c>
      <c r="E457" s="26" t="str">
        <f t="shared" si="81"/>
        <v>-</v>
      </c>
      <c r="F457" s="311"/>
      <c r="G457" s="307" t="str">
        <f t="shared" si="82"/>
        <v>-</v>
      </c>
      <c r="H457" s="352">
        <f t="shared" si="83"/>
        <v>0</v>
      </c>
      <c r="I457" s="537" t="str">
        <f t="shared" si="84"/>
        <v>-</v>
      </c>
      <c r="J457" s="538">
        <f t="shared" si="85"/>
        <v>0</v>
      </c>
      <c r="K457" s="539" t="s">
        <v>2299</v>
      </c>
      <c r="L457" s="20"/>
    </row>
    <row r="458" spans="1:16">
      <c r="A458" s="14" t="s">
        <v>31</v>
      </c>
      <c r="D458" s="18">
        <v>17</v>
      </c>
      <c r="E458" s="26" t="str">
        <f t="shared" si="81"/>
        <v>-</v>
      </c>
      <c r="F458" s="311"/>
      <c r="G458" s="307" t="str">
        <f t="shared" si="82"/>
        <v>-</v>
      </c>
      <c r="H458" s="352">
        <f t="shared" si="83"/>
        <v>0</v>
      </c>
      <c r="I458" s="537" t="str">
        <f t="shared" si="84"/>
        <v>-</v>
      </c>
      <c r="J458" s="538">
        <f t="shared" si="85"/>
        <v>0</v>
      </c>
      <c r="K458" s="539" t="s">
        <v>2299</v>
      </c>
      <c r="L458" s="20"/>
    </row>
    <row r="459" spans="1:16">
      <c r="A459" s="14" t="s">
        <v>31</v>
      </c>
      <c r="D459" s="18">
        <v>18</v>
      </c>
      <c r="E459" s="26" t="str">
        <f t="shared" si="81"/>
        <v>-</v>
      </c>
      <c r="F459" s="311"/>
      <c r="G459" s="307" t="str">
        <f t="shared" si="82"/>
        <v>-</v>
      </c>
      <c r="H459" s="352">
        <f t="shared" si="83"/>
        <v>0</v>
      </c>
      <c r="I459" s="537" t="str">
        <f t="shared" si="84"/>
        <v>-</v>
      </c>
      <c r="J459" s="538">
        <f t="shared" si="85"/>
        <v>0</v>
      </c>
      <c r="K459" s="539" t="s">
        <v>2299</v>
      </c>
      <c r="L459" s="20"/>
    </row>
    <row r="460" spans="1:16">
      <c r="A460" s="14" t="s">
        <v>31</v>
      </c>
      <c r="D460" s="18">
        <v>19</v>
      </c>
      <c r="E460" s="26" t="str">
        <f t="shared" si="81"/>
        <v>-</v>
      </c>
      <c r="F460" s="311"/>
      <c r="G460" s="307" t="str">
        <f t="shared" si="82"/>
        <v>-</v>
      </c>
      <c r="H460" s="352">
        <f t="shared" si="83"/>
        <v>0</v>
      </c>
      <c r="I460" s="537" t="str">
        <f t="shared" si="84"/>
        <v>-</v>
      </c>
      <c r="J460" s="538">
        <f t="shared" si="85"/>
        <v>0</v>
      </c>
      <c r="K460" s="539" t="s">
        <v>2299</v>
      </c>
      <c r="L460" s="20"/>
    </row>
    <row r="461" spans="1:16">
      <c r="A461" s="14" t="s">
        <v>31</v>
      </c>
      <c r="D461" s="18">
        <v>20</v>
      </c>
      <c r="E461" s="26" t="str">
        <f t="shared" si="81"/>
        <v>-</v>
      </c>
      <c r="F461" s="311"/>
      <c r="G461" s="307" t="str">
        <f t="shared" si="82"/>
        <v>-</v>
      </c>
      <c r="H461" s="352">
        <f t="shared" si="83"/>
        <v>0</v>
      </c>
      <c r="I461" s="537" t="str">
        <f t="shared" si="84"/>
        <v>-</v>
      </c>
      <c r="J461" s="541">
        <f t="shared" si="85"/>
        <v>0</v>
      </c>
      <c r="K461" s="539" t="s">
        <v>2299</v>
      </c>
      <c r="L461" s="20"/>
    </row>
    <row r="462" spans="1:16">
      <c r="A462" s="14">
        <f>A429+1</f>
        <v>10</v>
      </c>
      <c r="B462" s="14" t="str">
        <f>"MA" &amp; TEXT(A462,"##000")</f>
        <v>MA010</v>
      </c>
      <c r="D462" s="18"/>
      <c r="E462" s="591" t="s">
        <v>2302</v>
      </c>
      <c r="F462" s="592"/>
      <c r="G462" s="592"/>
      <c r="H462" s="592"/>
      <c r="I462" s="327"/>
      <c r="J462" s="353">
        <f>SUM(J442:J461)</f>
        <v>1935.7017057725</v>
      </c>
      <c r="K462" s="365" t="str">
        <f>+F439</f>
        <v>m3</v>
      </c>
      <c r="L462" s="20"/>
      <c r="O462" s="27" t="s">
        <v>1525</v>
      </c>
      <c r="P462" s="110">
        <v>350</v>
      </c>
    </row>
    <row r="463" spans="1:16">
      <c r="D463" s="18"/>
      <c r="E463" s="593" t="s">
        <v>100</v>
      </c>
      <c r="F463" s="594"/>
      <c r="G463" s="594"/>
      <c r="H463" s="594"/>
      <c r="I463" s="594"/>
      <c r="J463" s="595"/>
      <c r="K463" s="347"/>
      <c r="L463" s="20"/>
      <c r="O463" s="27" t="s">
        <v>1524</v>
      </c>
      <c r="P463" s="110">
        <f>10*F444</f>
        <v>200</v>
      </c>
    </row>
    <row r="464" spans="1:16">
      <c r="A464" s="14" t="s">
        <v>84</v>
      </c>
      <c r="D464" s="18">
        <v>1</v>
      </c>
      <c r="E464" s="26" t="str">
        <f>VLOOKUP($A464,MATMO,2,FALSE)</f>
        <v>Oficial</v>
      </c>
      <c r="F464" s="311">
        <v>8.65</v>
      </c>
      <c r="G464" s="307" t="str">
        <f>VLOOKUP($A464,MATMO,3,FALSE)</f>
        <v>hs</v>
      </c>
      <c r="H464" s="110">
        <f>VLOOKUP($A464,MATMO,4,FALSE)*$Q$7</f>
        <v>55.38</v>
      </c>
      <c r="I464" s="354" t="str">
        <f t="shared" ref="I464:I468" si="86">+G464</f>
        <v>hs</v>
      </c>
      <c r="J464" s="350">
        <f t="shared" ref="J464:J468" si="87">+H464*F464</f>
        <v>479.03700000000003</v>
      </c>
      <c r="K464" s="360" t="s">
        <v>2299</v>
      </c>
      <c r="L464" s="20"/>
      <c r="M464" s="14" t="s">
        <v>2006</v>
      </c>
      <c r="O464" s="27" t="s">
        <v>1526</v>
      </c>
      <c r="P464" s="110">
        <v>0</v>
      </c>
    </row>
    <row r="465" spans="1:19">
      <c r="A465" s="14" t="s">
        <v>85</v>
      </c>
      <c r="D465" s="18">
        <v>2</v>
      </c>
      <c r="E465" s="26" t="str">
        <f>VLOOKUP($A465,MATMO,2,FALSE)</f>
        <v>Ayudante</v>
      </c>
      <c r="F465" s="311">
        <v>1.25</v>
      </c>
      <c r="G465" s="307" t="str">
        <f>VLOOKUP($A465,MATMO,3,FALSE)</f>
        <v>hs</v>
      </c>
      <c r="H465" s="110">
        <f>VLOOKUP($A465,MATMO,4,FALSE)*$Q$7</f>
        <v>46.87</v>
      </c>
      <c r="I465" s="354" t="str">
        <f t="shared" si="86"/>
        <v>hs</v>
      </c>
      <c r="J465" s="350">
        <f t="shared" si="87"/>
        <v>58.587499999999999</v>
      </c>
      <c r="K465" s="360" t="s">
        <v>2299</v>
      </c>
      <c r="L465" s="20"/>
      <c r="O465" s="27" t="s">
        <v>1527</v>
      </c>
      <c r="P465" s="110">
        <v>0</v>
      </c>
    </row>
    <row r="466" spans="1:19">
      <c r="A466" s="14" t="s">
        <v>2311</v>
      </c>
      <c r="D466" s="18">
        <v>3</v>
      </c>
      <c r="E466" s="26" t="str">
        <f>VLOOKUP($A466,MATMO,2,FALSE)</f>
        <v>Cargas Sociales Oficial</v>
      </c>
      <c r="F466" s="311">
        <f>+F464</f>
        <v>8.65</v>
      </c>
      <c r="G466" s="307" t="str">
        <f>VLOOKUP($A466,MATMO,3,FALSE)</f>
        <v>hs</v>
      </c>
      <c r="H466" s="110">
        <f>VLOOKUP($A466,MATMO,4,FALSE)*$Q$7</f>
        <v>52.742782499999997</v>
      </c>
      <c r="I466" s="354" t="str">
        <f t="shared" si="86"/>
        <v>hs</v>
      </c>
      <c r="J466" s="350">
        <f t="shared" si="87"/>
        <v>456.22506862500001</v>
      </c>
      <c r="K466" s="360" t="s">
        <v>2299</v>
      </c>
      <c r="L466" s="20"/>
      <c r="O466" s="27"/>
      <c r="P466" s="110">
        <v>0</v>
      </c>
    </row>
    <row r="467" spans="1:19">
      <c r="A467" s="14" t="s">
        <v>2312</v>
      </c>
      <c r="D467" s="18">
        <v>4</v>
      </c>
      <c r="E467" s="26" t="str">
        <f>VLOOKUP($A467,MATMO,2,FALSE)</f>
        <v>Cargas Sociales Ayudante</v>
      </c>
      <c r="F467" s="311">
        <f>+F465</f>
        <v>1.25</v>
      </c>
      <c r="G467" s="307" t="str">
        <f>VLOOKUP($A467,MATMO,3,FALSE)</f>
        <v>hs</v>
      </c>
      <c r="H467" s="110">
        <f>VLOOKUP($A467,MATMO,4,FALSE)*$Q$7</f>
        <v>45.108248750000001</v>
      </c>
      <c r="I467" s="354" t="str">
        <f t="shared" si="86"/>
        <v>hs</v>
      </c>
      <c r="J467" s="350">
        <f t="shared" si="87"/>
        <v>56.385310937500002</v>
      </c>
      <c r="K467" s="360" t="s">
        <v>2299</v>
      </c>
      <c r="L467" s="20"/>
      <c r="O467" s="27"/>
      <c r="P467" s="110">
        <v>0</v>
      </c>
    </row>
    <row r="468" spans="1:19" ht="16.5" thickBot="1">
      <c r="A468" s="14" t="s">
        <v>83</v>
      </c>
      <c r="D468" s="18">
        <v>5</v>
      </c>
      <c r="E468" s="26" t="str">
        <f>VLOOKUP($A468,MATMO,2,FALSE)</f>
        <v>-</v>
      </c>
      <c r="F468" s="311"/>
      <c r="G468" s="307" t="str">
        <f>VLOOKUP($A468,MATMO,3,FALSE)</f>
        <v>-</v>
      </c>
      <c r="H468" s="110">
        <f>VLOOKUP($A468,MATMO,4,FALSE)*$Q$7</f>
        <v>0</v>
      </c>
      <c r="I468" s="537" t="str">
        <f t="shared" si="86"/>
        <v>-</v>
      </c>
      <c r="J468" s="538">
        <f t="shared" si="87"/>
        <v>0</v>
      </c>
      <c r="K468" s="539" t="s">
        <v>2299</v>
      </c>
      <c r="L468" s="20"/>
      <c r="O468" s="27"/>
      <c r="P468" s="110">
        <v>0</v>
      </c>
      <c r="R468" s="29" t="s">
        <v>2307</v>
      </c>
    </row>
    <row r="469" spans="1:19" ht="16.5" thickBot="1">
      <c r="A469" s="14">
        <f>A429+1</f>
        <v>10</v>
      </c>
      <c r="B469" s="14" t="str">
        <f>"MO" &amp; TEXT(A469,"##000")</f>
        <v>MO010</v>
      </c>
      <c r="D469" s="18"/>
      <c r="E469" s="591" t="s">
        <v>2301</v>
      </c>
      <c r="F469" s="592"/>
      <c r="G469" s="592"/>
      <c r="H469" s="592"/>
      <c r="I469" s="327"/>
      <c r="J469" s="362">
        <f>SUM(J464:J468)</f>
        <v>1050.2348795625001</v>
      </c>
      <c r="K469" s="365" t="str">
        <f>+G464</f>
        <v>hs</v>
      </c>
      <c r="L469" s="20"/>
      <c r="N469" s="111">
        <f>+P469+R469</f>
        <v>1045</v>
      </c>
      <c r="O469" s="27"/>
      <c r="P469" s="27">
        <f>SUM(P462:P468)</f>
        <v>550</v>
      </c>
      <c r="Q469" s="26">
        <v>0.9</v>
      </c>
      <c r="R469" s="287">
        <f>+Q469*P469</f>
        <v>495</v>
      </c>
      <c r="S469" s="288"/>
    </row>
    <row r="470" spans="1:19">
      <c r="D470" s="18"/>
      <c r="E470" s="593" t="s">
        <v>101</v>
      </c>
      <c r="F470" s="594"/>
      <c r="G470" s="594"/>
      <c r="H470" s="594"/>
      <c r="I470" s="594"/>
      <c r="J470" s="595"/>
      <c r="K470" s="347"/>
      <c r="L470" s="20"/>
      <c r="P470" s="14" t="s">
        <v>2308</v>
      </c>
    </row>
    <row r="471" spans="1:19">
      <c r="A471" s="14" t="s">
        <v>119</v>
      </c>
      <c r="D471" s="18">
        <v>1</v>
      </c>
      <c r="E471" s="26" t="str">
        <f>VLOOKUP($A471,MATMO,2,FALSE)</f>
        <v>Herramientas de Mano</v>
      </c>
      <c r="F471" s="311">
        <v>1</v>
      </c>
      <c r="G471" s="307" t="str">
        <f>VLOOKUP($A471,MATMO,3,FALSE)</f>
        <v>gl</v>
      </c>
      <c r="H471" s="110">
        <f>+(J462+J469)*$Q$5</f>
        <v>119.4374634134</v>
      </c>
      <c r="I471" s="345" t="str">
        <f>+G471</f>
        <v>gl</v>
      </c>
      <c r="J471" s="350">
        <f t="shared" ref="J471:J475" si="88">+H471*F471</f>
        <v>119.4374634134</v>
      </c>
      <c r="K471" s="360" t="s">
        <v>2299</v>
      </c>
      <c r="L471" s="20"/>
      <c r="M471" s="14" t="s">
        <v>2004</v>
      </c>
    </row>
    <row r="472" spans="1:19">
      <c r="A472" s="14" t="s">
        <v>134</v>
      </c>
      <c r="D472" s="18">
        <v>2</v>
      </c>
      <c r="E472" s="26" t="str">
        <f>VLOOKUP($A472,MATMO,2,FALSE)</f>
        <v>Retroexcavadora</v>
      </c>
      <c r="F472" s="311">
        <v>0.1</v>
      </c>
      <c r="G472" s="307" t="str">
        <f>VLOOKUP($A472,MATMO,3,FALSE)</f>
        <v>hs</v>
      </c>
      <c r="H472" s="110">
        <f>VLOOKUP($A472,MATMO,4,FALSE)*$Q$6</f>
        <v>450</v>
      </c>
      <c r="I472" s="345" t="str">
        <f t="shared" ref="I472:I475" si="89">+G472</f>
        <v>hs</v>
      </c>
      <c r="J472" s="350">
        <f t="shared" si="88"/>
        <v>45</v>
      </c>
      <c r="K472" s="360" t="s">
        <v>2299</v>
      </c>
      <c r="L472" s="20"/>
    </row>
    <row r="473" spans="1:19">
      <c r="A473" s="14" t="s">
        <v>118</v>
      </c>
      <c r="D473" s="18">
        <v>3</v>
      </c>
      <c r="E473" s="26" t="str">
        <f>VLOOKUP($A473,MATMO,2,FALSE)</f>
        <v>-</v>
      </c>
      <c r="F473" s="311"/>
      <c r="G473" s="307" t="str">
        <f>VLOOKUP($A473,MATMO,3,FALSE)</f>
        <v>-</v>
      </c>
      <c r="H473" s="110">
        <f>VLOOKUP($A473,MATMO,4,FALSE)*$Q$6</f>
        <v>0</v>
      </c>
      <c r="I473" s="543" t="str">
        <f t="shared" si="89"/>
        <v>-</v>
      </c>
      <c r="J473" s="538">
        <f t="shared" si="88"/>
        <v>0</v>
      </c>
      <c r="K473" s="539" t="s">
        <v>2299</v>
      </c>
      <c r="L473" s="20"/>
    </row>
    <row r="474" spans="1:19">
      <c r="A474" s="14" t="s">
        <v>118</v>
      </c>
      <c r="D474" s="18">
        <v>4</v>
      </c>
      <c r="E474" s="26" t="str">
        <f>VLOOKUP($A474,MATMO,2,FALSE)</f>
        <v>-</v>
      </c>
      <c r="F474" s="311"/>
      <c r="G474" s="307" t="str">
        <f>VLOOKUP($A474,MATMO,3,FALSE)</f>
        <v>-</v>
      </c>
      <c r="H474" s="110">
        <f>VLOOKUP($A474,MATMO,4,FALSE)*$Q$6</f>
        <v>0</v>
      </c>
      <c r="I474" s="543" t="str">
        <f t="shared" si="89"/>
        <v>-</v>
      </c>
      <c r="J474" s="538">
        <f t="shared" si="88"/>
        <v>0</v>
      </c>
      <c r="K474" s="539" t="s">
        <v>2299</v>
      </c>
      <c r="L474" s="20"/>
    </row>
    <row r="475" spans="1:19">
      <c r="A475" s="14" t="s">
        <v>118</v>
      </c>
      <c r="D475" s="18">
        <v>5</v>
      </c>
      <c r="E475" s="26" t="str">
        <f>VLOOKUP($A475,MATMO,2,FALSE)</f>
        <v>-</v>
      </c>
      <c r="F475" s="311"/>
      <c r="G475" s="307" t="str">
        <f>VLOOKUP($A475,MATMO,3,FALSE)</f>
        <v>-</v>
      </c>
      <c r="H475" s="110">
        <f>VLOOKUP($A475,MATMO,4,FALSE)*$Q$6</f>
        <v>0</v>
      </c>
      <c r="I475" s="543" t="str">
        <f t="shared" si="89"/>
        <v>-</v>
      </c>
      <c r="J475" s="538">
        <f t="shared" si="88"/>
        <v>0</v>
      </c>
      <c r="K475" s="539" t="s">
        <v>2299</v>
      </c>
      <c r="L475" s="20"/>
    </row>
    <row r="476" spans="1:19">
      <c r="A476" s="14">
        <f>A429+1</f>
        <v>10</v>
      </c>
      <c r="B476" s="14" t="str">
        <f>"E" &amp; TEXT(A476,"##000")</f>
        <v>E010</v>
      </c>
      <c r="D476" s="18"/>
      <c r="E476" s="591" t="s">
        <v>2300</v>
      </c>
      <c r="F476" s="592"/>
      <c r="G476" s="592"/>
      <c r="H476" s="592"/>
      <c r="I476" s="327"/>
      <c r="J476" s="362">
        <f>SUM(J471:J475)</f>
        <v>164.4374634134</v>
      </c>
      <c r="K476" s="365" t="s">
        <v>116</v>
      </c>
      <c r="L476" s="20"/>
    </row>
    <row r="477" spans="1:19">
      <c r="D477" s="18"/>
      <c r="E477" s="596"/>
      <c r="F477" s="597"/>
      <c r="G477" s="597"/>
      <c r="H477" s="597"/>
      <c r="I477" s="597"/>
      <c r="J477" s="598"/>
      <c r="K477" s="348"/>
      <c r="L477" s="20"/>
    </row>
    <row r="478" spans="1:19">
      <c r="D478" s="18"/>
      <c r="E478" s="591" t="s">
        <v>2306</v>
      </c>
      <c r="F478" s="592"/>
      <c r="G478" s="592"/>
      <c r="H478" s="592"/>
      <c r="I478" s="327"/>
      <c r="J478" s="308">
        <f>+J476+J469+J462</f>
        <v>3150.3740487484001</v>
      </c>
      <c r="K478" s="365" t="str">
        <f>+F439</f>
        <v>m3</v>
      </c>
      <c r="L478" s="20"/>
    </row>
    <row r="479" spans="1:19">
      <c r="D479" s="18"/>
      <c r="E479" s="591" t="s">
        <v>2305</v>
      </c>
      <c r="F479" s="592"/>
      <c r="G479" s="592"/>
      <c r="H479" s="592"/>
      <c r="I479" s="406">
        <f>+$Q$9</f>
        <v>1.6902999999999999</v>
      </c>
      <c r="J479" s="308">
        <f>+$Q$9*J478</f>
        <v>5325.0772545994205</v>
      </c>
      <c r="K479" s="365" t="str">
        <f>+F439</f>
        <v>m3</v>
      </c>
      <c r="L479" s="20"/>
    </row>
    <row r="480" spans="1:19">
      <c r="A480" s="14">
        <f>A433+1</f>
        <v>10</v>
      </c>
      <c r="B480" s="14" t="str">
        <f>"TR" &amp; TEXT(A480,"##000")</f>
        <v>TR010</v>
      </c>
      <c r="C480" s="14">
        <f>+C433+1</f>
        <v>10</v>
      </c>
      <c r="D480" s="18"/>
      <c r="E480" s="591" t="s">
        <v>2304</v>
      </c>
      <c r="F480" s="592"/>
      <c r="G480" s="592"/>
      <c r="H480" s="592"/>
      <c r="I480" s="327"/>
      <c r="J480" s="308">
        <f>+J479</f>
        <v>5325.0772545994205</v>
      </c>
      <c r="K480" s="365" t="str">
        <f>+F439</f>
        <v>m3</v>
      </c>
      <c r="L480" s="20"/>
    </row>
    <row r="481" spans="1:13" ht="16.5" thickBot="1">
      <c r="D481" s="21"/>
      <c r="E481" s="30"/>
      <c r="F481" s="30"/>
      <c r="G481" s="30"/>
      <c r="H481" s="30"/>
      <c r="I481" s="30"/>
      <c r="J481" s="30"/>
      <c r="K481" s="349"/>
      <c r="L481" s="22"/>
    </row>
    <row r="482" spans="1:13" ht="16.5" thickTop="1">
      <c r="D482" s="15"/>
      <c r="E482" s="16"/>
      <c r="F482" s="16"/>
      <c r="G482" s="16"/>
      <c r="H482" s="16"/>
      <c r="I482" s="16"/>
      <c r="J482" s="16"/>
      <c r="K482" s="16"/>
      <c r="L482" s="17"/>
    </row>
    <row r="483" spans="1:13">
      <c r="A483" s="14" t="s">
        <v>1823</v>
      </c>
      <c r="D483" s="18"/>
      <c r="E483" s="23" t="s">
        <v>95</v>
      </c>
      <c r="F483" s="24" t="str">
        <f>VLOOKUP($A483,DATRUB,3,FALSE)</f>
        <v>RUBRO III:</v>
      </c>
      <c r="G483" s="599" t="str">
        <f>VLOOKUP($A483,DATRUB,4,FALSE)</f>
        <v xml:space="preserve"> ESTRUCTURA RESISTENTE</v>
      </c>
      <c r="H483" s="599"/>
      <c r="I483" s="599"/>
      <c r="J483" s="599"/>
      <c r="K483" s="599"/>
      <c r="L483" s="20"/>
    </row>
    <row r="484" spans="1:13" ht="35.1" customHeight="1">
      <c r="A484" s="14" t="s">
        <v>1826</v>
      </c>
      <c r="D484" s="18"/>
      <c r="E484" s="23" t="s">
        <v>96</v>
      </c>
      <c r="F484" s="399">
        <f>VLOOKUP($A484,DATRUB,3,FALSE)</f>
        <v>3.4</v>
      </c>
      <c r="G484" s="599" t="str">
        <f>VLOOKUP($A484,DATRUB,4,FALSE)</f>
        <v>Vigas de Arriostramiento y Fundacion</v>
      </c>
      <c r="H484" s="599"/>
      <c r="I484" s="599"/>
      <c r="J484" s="599"/>
      <c r="K484" s="599"/>
      <c r="L484" s="20"/>
    </row>
    <row r="485" spans="1:13" ht="35.1" customHeight="1">
      <c r="A485" s="14" t="s">
        <v>1826</v>
      </c>
      <c r="D485" s="18"/>
      <c r="E485" s="23" t="s">
        <v>97</v>
      </c>
      <c r="F485" s="399">
        <f>VLOOKUP($A485,DATRUB,3,FALSE)</f>
        <v>3.4</v>
      </c>
      <c r="G485" s="599" t="str">
        <f>VLOOKUP($A485,DATRUB,4,FALSE)</f>
        <v>Vigas de Arriostramiento y Fundacion</v>
      </c>
      <c r="H485" s="599"/>
      <c r="I485" s="599"/>
      <c r="J485" s="599"/>
      <c r="K485" s="599"/>
      <c r="L485" s="20"/>
    </row>
    <row r="486" spans="1:13">
      <c r="D486" s="18"/>
      <c r="E486" s="23" t="s">
        <v>98</v>
      </c>
      <c r="F486" s="24" t="str">
        <f>VLOOKUP($A485,DATRUB,5,FALSE)</f>
        <v>m3</v>
      </c>
      <c r="G486" s="600"/>
      <c r="H486" s="600"/>
      <c r="I486" s="600"/>
      <c r="J486" s="600"/>
      <c r="K486" s="600"/>
      <c r="L486" s="20"/>
    </row>
    <row r="487" spans="1:13">
      <c r="D487" s="18"/>
      <c r="E487" s="24" t="s">
        <v>1158</v>
      </c>
      <c r="F487" s="25" t="s">
        <v>1250</v>
      </c>
      <c r="G487" s="24" t="s">
        <v>24</v>
      </c>
      <c r="H487" s="24" t="s">
        <v>25</v>
      </c>
      <c r="I487" s="24" t="s">
        <v>24</v>
      </c>
      <c r="J487" s="24" t="s">
        <v>2298</v>
      </c>
      <c r="K487" s="24" t="s">
        <v>24</v>
      </c>
      <c r="L487" s="20"/>
    </row>
    <row r="488" spans="1:13">
      <c r="D488" s="18"/>
      <c r="E488" s="593" t="s">
        <v>99</v>
      </c>
      <c r="F488" s="594"/>
      <c r="G488" s="594"/>
      <c r="H488" s="594"/>
      <c r="I488" s="594"/>
      <c r="J488" s="594"/>
      <c r="K488" s="595"/>
      <c r="L488" s="20"/>
    </row>
    <row r="489" spans="1:13">
      <c r="A489" s="14" t="s">
        <v>2433</v>
      </c>
      <c r="D489" s="18">
        <v>1</v>
      </c>
      <c r="E489" s="355" t="str">
        <f t="shared" ref="E489:E508" si="90">VLOOKUP($A489,MATMO,2,FALSE)</f>
        <v>Hormigón Elaborado 4</v>
      </c>
      <c r="F489" s="356">
        <v>1.1000000000000001</v>
      </c>
      <c r="G489" s="357" t="str">
        <f t="shared" ref="G489:G508" si="91">VLOOKUP($A489,MATMO,3,FALSE)</f>
        <v>m³</v>
      </c>
      <c r="H489" s="358">
        <f t="shared" ref="H489:H508" si="92">VLOOKUP($A489,MATMO,4,FALSE)*$Q$6</f>
        <v>1421</v>
      </c>
      <c r="I489" s="359" t="str">
        <f t="shared" ref="I489:I508" si="93">+G489</f>
        <v>m³</v>
      </c>
      <c r="J489" s="361">
        <f>+H489*F489</f>
        <v>1563.1000000000001</v>
      </c>
      <c r="K489" s="360" t="s">
        <v>2299</v>
      </c>
      <c r="L489" s="20"/>
      <c r="M489" s="14" t="s">
        <v>2005</v>
      </c>
    </row>
    <row r="490" spans="1:13">
      <c r="A490" s="14" t="s">
        <v>208</v>
      </c>
      <c r="D490" s="18">
        <v>2</v>
      </c>
      <c r="E490" s="26" t="str">
        <f t="shared" si="90"/>
        <v>Alambre N° 14</v>
      </c>
      <c r="F490" s="311">
        <v>2.5</v>
      </c>
      <c r="G490" s="307" t="str">
        <f t="shared" si="91"/>
        <v>kg</v>
      </c>
      <c r="H490" s="351">
        <f t="shared" si="92"/>
        <v>24.334</v>
      </c>
      <c r="I490" s="354" t="str">
        <f t="shared" si="93"/>
        <v>kg</v>
      </c>
      <c r="J490" s="350">
        <f t="shared" ref="J490:J508" si="94">+H490*F490</f>
        <v>60.835000000000001</v>
      </c>
      <c r="K490" s="360" t="s">
        <v>2299</v>
      </c>
      <c r="L490" s="20"/>
    </row>
    <row r="491" spans="1:13">
      <c r="A491" s="14" t="s">
        <v>204</v>
      </c>
      <c r="D491" s="18">
        <v>3</v>
      </c>
      <c r="E491" s="26" t="str">
        <f t="shared" si="90"/>
        <v>Hierro</v>
      </c>
      <c r="F491" s="311">
        <v>100</v>
      </c>
      <c r="G491" s="307" t="str">
        <f t="shared" si="91"/>
        <v>kg</v>
      </c>
      <c r="H491" s="351">
        <f t="shared" si="92"/>
        <v>15.588335288624991</v>
      </c>
      <c r="I491" s="354" t="str">
        <f t="shared" si="93"/>
        <v>kg</v>
      </c>
      <c r="J491" s="350">
        <f t="shared" si="94"/>
        <v>1558.8335288624992</v>
      </c>
      <c r="K491" s="360" t="s">
        <v>2299</v>
      </c>
      <c r="L491" s="20"/>
    </row>
    <row r="492" spans="1:13">
      <c r="A492" s="14" t="s">
        <v>210</v>
      </c>
      <c r="D492" s="18">
        <v>4</v>
      </c>
      <c r="E492" s="26" t="str">
        <f t="shared" si="90"/>
        <v>Clavos 2"</v>
      </c>
      <c r="F492" s="311">
        <v>0.4</v>
      </c>
      <c r="G492" s="307" t="str">
        <f t="shared" si="91"/>
        <v>kg</v>
      </c>
      <c r="H492" s="351">
        <f t="shared" si="92"/>
        <v>20.83</v>
      </c>
      <c r="I492" s="354" t="str">
        <f t="shared" si="93"/>
        <v>kg</v>
      </c>
      <c r="J492" s="350">
        <f t="shared" si="94"/>
        <v>8.331999999999999</v>
      </c>
      <c r="K492" s="360" t="s">
        <v>2299</v>
      </c>
      <c r="L492" s="20"/>
    </row>
    <row r="493" spans="1:13">
      <c r="A493" s="14" t="s">
        <v>46</v>
      </c>
      <c r="D493" s="18">
        <v>5</v>
      </c>
      <c r="E493" s="26" t="str">
        <f t="shared" si="90"/>
        <v>Encofrado</v>
      </c>
      <c r="F493" s="311">
        <v>1</v>
      </c>
      <c r="G493" s="307" t="str">
        <f t="shared" si="91"/>
        <v>m²</v>
      </c>
      <c r="H493" s="351">
        <f t="shared" si="92"/>
        <v>380</v>
      </c>
      <c r="I493" s="354" t="str">
        <f t="shared" si="93"/>
        <v>m²</v>
      </c>
      <c r="J493" s="350">
        <f t="shared" si="94"/>
        <v>380</v>
      </c>
      <c r="K493" s="360" t="s">
        <v>2299</v>
      </c>
      <c r="L493" s="20"/>
    </row>
    <row r="494" spans="1:13">
      <c r="A494" s="14" t="s">
        <v>31</v>
      </c>
      <c r="D494" s="18">
        <v>6</v>
      </c>
      <c r="E494" s="26" t="str">
        <f t="shared" si="90"/>
        <v>-</v>
      </c>
      <c r="F494" s="311"/>
      <c r="G494" s="307" t="str">
        <f t="shared" si="91"/>
        <v>-</v>
      </c>
      <c r="H494" s="351">
        <f t="shared" si="92"/>
        <v>0</v>
      </c>
      <c r="I494" s="537" t="str">
        <f t="shared" si="93"/>
        <v>-</v>
      </c>
      <c r="J494" s="538">
        <f t="shared" si="94"/>
        <v>0</v>
      </c>
      <c r="K494" s="539" t="s">
        <v>2299</v>
      </c>
      <c r="L494" s="20"/>
    </row>
    <row r="495" spans="1:13">
      <c r="A495" s="14" t="s">
        <v>31</v>
      </c>
      <c r="D495" s="18">
        <v>7</v>
      </c>
      <c r="E495" s="26" t="str">
        <f t="shared" si="90"/>
        <v>-</v>
      </c>
      <c r="F495" s="311"/>
      <c r="G495" s="307" t="str">
        <f t="shared" si="91"/>
        <v>-</v>
      </c>
      <c r="H495" s="351">
        <f t="shared" si="92"/>
        <v>0</v>
      </c>
      <c r="I495" s="537" t="str">
        <f t="shared" si="93"/>
        <v>-</v>
      </c>
      <c r="J495" s="538">
        <f t="shared" si="94"/>
        <v>0</v>
      </c>
      <c r="K495" s="539" t="s">
        <v>2299</v>
      </c>
      <c r="L495" s="20"/>
    </row>
    <row r="496" spans="1:13">
      <c r="A496" s="14" t="s">
        <v>31</v>
      </c>
      <c r="D496" s="18">
        <v>8</v>
      </c>
      <c r="E496" s="26" t="str">
        <f t="shared" si="90"/>
        <v>-</v>
      </c>
      <c r="F496" s="311"/>
      <c r="G496" s="307" t="str">
        <f t="shared" si="91"/>
        <v>-</v>
      </c>
      <c r="H496" s="351">
        <f t="shared" si="92"/>
        <v>0</v>
      </c>
      <c r="I496" s="537" t="str">
        <f t="shared" si="93"/>
        <v>-</v>
      </c>
      <c r="J496" s="538">
        <f t="shared" si="94"/>
        <v>0</v>
      </c>
      <c r="K496" s="539" t="s">
        <v>2299</v>
      </c>
      <c r="L496" s="20"/>
    </row>
    <row r="497" spans="1:16">
      <c r="A497" s="14" t="s">
        <v>31</v>
      </c>
      <c r="D497" s="18">
        <v>9</v>
      </c>
      <c r="E497" s="26" t="str">
        <f t="shared" si="90"/>
        <v>-</v>
      </c>
      <c r="F497" s="311"/>
      <c r="G497" s="307" t="str">
        <f t="shared" si="91"/>
        <v>-</v>
      </c>
      <c r="H497" s="351">
        <f t="shared" si="92"/>
        <v>0</v>
      </c>
      <c r="I497" s="537" t="str">
        <f t="shared" si="93"/>
        <v>-</v>
      </c>
      <c r="J497" s="538">
        <f t="shared" si="94"/>
        <v>0</v>
      </c>
      <c r="K497" s="539" t="s">
        <v>2299</v>
      </c>
      <c r="L497" s="20"/>
    </row>
    <row r="498" spans="1:16">
      <c r="A498" s="14" t="s">
        <v>31</v>
      </c>
      <c r="D498" s="18">
        <v>10</v>
      </c>
      <c r="E498" s="26" t="str">
        <f t="shared" si="90"/>
        <v>-</v>
      </c>
      <c r="F498" s="311"/>
      <c r="G498" s="307" t="str">
        <f t="shared" si="91"/>
        <v>-</v>
      </c>
      <c r="H498" s="351">
        <f t="shared" si="92"/>
        <v>0</v>
      </c>
      <c r="I498" s="537" t="str">
        <f t="shared" si="93"/>
        <v>-</v>
      </c>
      <c r="J498" s="538">
        <f t="shared" si="94"/>
        <v>0</v>
      </c>
      <c r="K498" s="539" t="s">
        <v>2299</v>
      </c>
      <c r="L498" s="20"/>
    </row>
    <row r="499" spans="1:16">
      <c r="A499" s="14" t="s">
        <v>31</v>
      </c>
      <c r="D499" s="18">
        <v>11</v>
      </c>
      <c r="E499" s="26" t="str">
        <f t="shared" si="90"/>
        <v>-</v>
      </c>
      <c r="F499" s="311"/>
      <c r="G499" s="307" t="str">
        <f t="shared" si="91"/>
        <v>-</v>
      </c>
      <c r="H499" s="351">
        <f t="shared" si="92"/>
        <v>0</v>
      </c>
      <c r="I499" s="537" t="str">
        <f t="shared" si="93"/>
        <v>-</v>
      </c>
      <c r="J499" s="538">
        <f t="shared" si="94"/>
        <v>0</v>
      </c>
      <c r="K499" s="539" t="s">
        <v>2299</v>
      </c>
      <c r="L499" s="20"/>
    </row>
    <row r="500" spans="1:16">
      <c r="A500" s="14" t="s">
        <v>31</v>
      </c>
      <c r="D500" s="18">
        <v>12</v>
      </c>
      <c r="E500" s="26" t="str">
        <f t="shared" si="90"/>
        <v>-</v>
      </c>
      <c r="F500" s="311"/>
      <c r="G500" s="307" t="str">
        <f t="shared" si="91"/>
        <v>-</v>
      </c>
      <c r="H500" s="352">
        <f t="shared" si="92"/>
        <v>0</v>
      </c>
      <c r="I500" s="537" t="str">
        <f t="shared" si="93"/>
        <v>-</v>
      </c>
      <c r="J500" s="538">
        <f t="shared" si="94"/>
        <v>0</v>
      </c>
      <c r="K500" s="539" t="s">
        <v>2299</v>
      </c>
      <c r="L500" s="20"/>
    </row>
    <row r="501" spans="1:16">
      <c r="A501" s="14" t="s">
        <v>31</v>
      </c>
      <c r="D501" s="18">
        <v>13</v>
      </c>
      <c r="E501" s="26" t="str">
        <f t="shared" si="90"/>
        <v>-</v>
      </c>
      <c r="F501" s="311"/>
      <c r="G501" s="307" t="str">
        <f t="shared" si="91"/>
        <v>-</v>
      </c>
      <c r="H501" s="352">
        <f t="shared" si="92"/>
        <v>0</v>
      </c>
      <c r="I501" s="537" t="str">
        <f t="shared" si="93"/>
        <v>-</v>
      </c>
      <c r="J501" s="538">
        <f t="shared" si="94"/>
        <v>0</v>
      </c>
      <c r="K501" s="539" t="s">
        <v>2299</v>
      </c>
      <c r="L501" s="20"/>
    </row>
    <row r="502" spans="1:16">
      <c r="A502" s="14" t="s">
        <v>31</v>
      </c>
      <c r="D502" s="18">
        <v>14</v>
      </c>
      <c r="E502" s="26" t="str">
        <f t="shared" si="90"/>
        <v>-</v>
      </c>
      <c r="F502" s="311"/>
      <c r="G502" s="307" t="str">
        <f t="shared" si="91"/>
        <v>-</v>
      </c>
      <c r="H502" s="352">
        <f t="shared" si="92"/>
        <v>0</v>
      </c>
      <c r="I502" s="537" t="str">
        <f t="shared" si="93"/>
        <v>-</v>
      </c>
      <c r="J502" s="538">
        <f t="shared" si="94"/>
        <v>0</v>
      </c>
      <c r="K502" s="539" t="s">
        <v>2299</v>
      </c>
      <c r="L502" s="20"/>
    </row>
    <row r="503" spans="1:16">
      <c r="A503" s="14" t="s">
        <v>31</v>
      </c>
      <c r="D503" s="18">
        <v>15</v>
      </c>
      <c r="E503" s="26" t="str">
        <f t="shared" si="90"/>
        <v>-</v>
      </c>
      <c r="F503" s="311"/>
      <c r="G503" s="307" t="str">
        <f t="shared" si="91"/>
        <v>-</v>
      </c>
      <c r="H503" s="352">
        <f t="shared" si="92"/>
        <v>0</v>
      </c>
      <c r="I503" s="537" t="str">
        <f t="shared" si="93"/>
        <v>-</v>
      </c>
      <c r="J503" s="538">
        <f t="shared" si="94"/>
        <v>0</v>
      </c>
      <c r="K503" s="539" t="s">
        <v>2299</v>
      </c>
      <c r="L503" s="20"/>
    </row>
    <row r="504" spans="1:16">
      <c r="A504" s="14" t="s">
        <v>31</v>
      </c>
      <c r="D504" s="18">
        <v>16</v>
      </c>
      <c r="E504" s="26" t="str">
        <f t="shared" si="90"/>
        <v>-</v>
      </c>
      <c r="F504" s="311"/>
      <c r="G504" s="307" t="str">
        <f t="shared" si="91"/>
        <v>-</v>
      </c>
      <c r="H504" s="352">
        <f t="shared" si="92"/>
        <v>0</v>
      </c>
      <c r="I504" s="537" t="str">
        <f t="shared" si="93"/>
        <v>-</v>
      </c>
      <c r="J504" s="538">
        <f t="shared" si="94"/>
        <v>0</v>
      </c>
      <c r="K504" s="539" t="s">
        <v>2299</v>
      </c>
      <c r="L504" s="20"/>
    </row>
    <row r="505" spans="1:16">
      <c r="A505" s="14" t="s">
        <v>31</v>
      </c>
      <c r="D505" s="18">
        <v>17</v>
      </c>
      <c r="E505" s="26" t="str">
        <f t="shared" si="90"/>
        <v>-</v>
      </c>
      <c r="F505" s="311"/>
      <c r="G505" s="307" t="str">
        <f t="shared" si="91"/>
        <v>-</v>
      </c>
      <c r="H505" s="352">
        <f t="shared" si="92"/>
        <v>0</v>
      </c>
      <c r="I505" s="537" t="str">
        <f t="shared" si="93"/>
        <v>-</v>
      </c>
      <c r="J505" s="538">
        <f t="shared" si="94"/>
        <v>0</v>
      </c>
      <c r="K505" s="539" t="s">
        <v>2299</v>
      </c>
      <c r="L505" s="20"/>
    </row>
    <row r="506" spans="1:16">
      <c r="A506" s="14" t="s">
        <v>31</v>
      </c>
      <c r="D506" s="18">
        <v>18</v>
      </c>
      <c r="E506" s="26" t="str">
        <f t="shared" si="90"/>
        <v>-</v>
      </c>
      <c r="F506" s="311"/>
      <c r="G506" s="307" t="str">
        <f t="shared" si="91"/>
        <v>-</v>
      </c>
      <c r="H506" s="352">
        <f t="shared" si="92"/>
        <v>0</v>
      </c>
      <c r="I506" s="537" t="str">
        <f t="shared" si="93"/>
        <v>-</v>
      </c>
      <c r="J506" s="538">
        <f t="shared" si="94"/>
        <v>0</v>
      </c>
      <c r="K506" s="539" t="s">
        <v>2299</v>
      </c>
      <c r="L506" s="20"/>
    </row>
    <row r="507" spans="1:16">
      <c r="A507" s="14" t="s">
        <v>31</v>
      </c>
      <c r="D507" s="18">
        <v>19</v>
      </c>
      <c r="E507" s="26" t="str">
        <f t="shared" si="90"/>
        <v>-</v>
      </c>
      <c r="F507" s="311"/>
      <c r="G507" s="307" t="str">
        <f t="shared" si="91"/>
        <v>-</v>
      </c>
      <c r="H507" s="352">
        <f t="shared" si="92"/>
        <v>0</v>
      </c>
      <c r="I507" s="537" t="str">
        <f t="shared" si="93"/>
        <v>-</v>
      </c>
      <c r="J507" s="538">
        <f t="shared" si="94"/>
        <v>0</v>
      </c>
      <c r="K507" s="539" t="s">
        <v>2299</v>
      </c>
      <c r="L507" s="20"/>
    </row>
    <row r="508" spans="1:16">
      <c r="A508" s="14" t="s">
        <v>31</v>
      </c>
      <c r="D508" s="18">
        <v>20</v>
      </c>
      <c r="E508" s="26" t="str">
        <f t="shared" si="90"/>
        <v>-</v>
      </c>
      <c r="F508" s="311"/>
      <c r="G508" s="307" t="str">
        <f t="shared" si="91"/>
        <v>-</v>
      </c>
      <c r="H508" s="352">
        <f t="shared" si="92"/>
        <v>0</v>
      </c>
      <c r="I508" s="537" t="str">
        <f t="shared" si="93"/>
        <v>-</v>
      </c>
      <c r="J508" s="541">
        <f t="shared" si="94"/>
        <v>0</v>
      </c>
      <c r="K508" s="539" t="s">
        <v>2299</v>
      </c>
      <c r="L508" s="20"/>
    </row>
    <row r="509" spans="1:16">
      <c r="A509" s="14">
        <f>A476+1</f>
        <v>11</v>
      </c>
      <c r="B509" s="14" t="str">
        <f>"MA" &amp; TEXT(A509,"##000")</f>
        <v>MA011</v>
      </c>
      <c r="D509" s="18"/>
      <c r="E509" s="591" t="s">
        <v>2302</v>
      </c>
      <c r="F509" s="592"/>
      <c r="G509" s="592"/>
      <c r="H509" s="592"/>
      <c r="I509" s="327"/>
      <c r="J509" s="353">
        <f>SUM(J489:J508)</f>
        <v>3571.1005288624992</v>
      </c>
      <c r="K509" s="365" t="str">
        <f>+F486</f>
        <v>m3</v>
      </c>
      <c r="L509" s="20"/>
      <c r="O509" s="27" t="s">
        <v>1525</v>
      </c>
      <c r="P509" s="110">
        <v>350</v>
      </c>
    </row>
    <row r="510" spans="1:16">
      <c r="D510" s="18"/>
      <c r="E510" s="593" t="s">
        <v>100</v>
      </c>
      <c r="F510" s="594"/>
      <c r="G510" s="594"/>
      <c r="H510" s="594"/>
      <c r="I510" s="594"/>
      <c r="J510" s="595"/>
      <c r="K510" s="347"/>
      <c r="L510" s="20"/>
      <c r="O510" s="27" t="s">
        <v>1524</v>
      </c>
      <c r="P510" s="110">
        <f>10*F491</f>
        <v>1000</v>
      </c>
    </row>
    <row r="511" spans="1:16">
      <c r="A511" s="14" t="s">
        <v>84</v>
      </c>
      <c r="D511" s="18">
        <v>1</v>
      </c>
      <c r="E511" s="26" t="str">
        <f>VLOOKUP($A511,MATMO,2,FALSE)</f>
        <v>Oficial</v>
      </c>
      <c r="F511" s="311">
        <v>19</v>
      </c>
      <c r="G511" s="307" t="str">
        <f>VLOOKUP($A511,MATMO,3,FALSE)</f>
        <v>hs</v>
      </c>
      <c r="H511" s="110">
        <f>VLOOKUP($A511,MATMO,4,FALSE)*$Q$7</f>
        <v>55.38</v>
      </c>
      <c r="I511" s="354" t="str">
        <f t="shared" ref="I511:I515" si="95">+G511</f>
        <v>hs</v>
      </c>
      <c r="J511" s="350">
        <f t="shared" ref="J511:J515" si="96">+H511*F511</f>
        <v>1052.22</v>
      </c>
      <c r="K511" s="360" t="s">
        <v>2299</v>
      </c>
      <c r="L511" s="20"/>
      <c r="M511" s="14" t="s">
        <v>2006</v>
      </c>
      <c r="O511" s="27" t="s">
        <v>1526</v>
      </c>
      <c r="P511" s="110">
        <v>200</v>
      </c>
    </row>
    <row r="512" spans="1:16">
      <c r="A512" s="14" t="s">
        <v>85</v>
      </c>
      <c r="D512" s="18">
        <v>2</v>
      </c>
      <c r="E512" s="26" t="str">
        <f>VLOOKUP($A512,MATMO,2,FALSE)</f>
        <v>Ayudante</v>
      </c>
      <c r="F512" s="311">
        <v>10</v>
      </c>
      <c r="G512" s="307" t="str">
        <f>VLOOKUP($A512,MATMO,3,FALSE)</f>
        <v>hs</v>
      </c>
      <c r="H512" s="110">
        <f>VLOOKUP($A512,MATMO,4,FALSE)*$Q$7</f>
        <v>46.87</v>
      </c>
      <c r="I512" s="354" t="str">
        <f t="shared" si="95"/>
        <v>hs</v>
      </c>
      <c r="J512" s="350">
        <f t="shared" si="96"/>
        <v>468.7</v>
      </c>
      <c r="K512" s="360" t="s">
        <v>2299</v>
      </c>
      <c r="L512" s="20"/>
      <c r="O512" s="27" t="s">
        <v>1527</v>
      </c>
      <c r="P512" s="110">
        <v>0</v>
      </c>
    </row>
    <row r="513" spans="1:19">
      <c r="A513" s="14" t="s">
        <v>2311</v>
      </c>
      <c r="D513" s="18">
        <v>3</v>
      </c>
      <c r="E513" s="26" t="str">
        <f>VLOOKUP($A513,MATMO,2,FALSE)</f>
        <v>Cargas Sociales Oficial</v>
      </c>
      <c r="F513" s="311">
        <f>+F511</f>
        <v>19</v>
      </c>
      <c r="G513" s="307" t="str">
        <f>VLOOKUP($A513,MATMO,3,FALSE)</f>
        <v>hs</v>
      </c>
      <c r="H513" s="110">
        <f>VLOOKUP($A513,MATMO,4,FALSE)*$Q$7</f>
        <v>52.742782499999997</v>
      </c>
      <c r="I513" s="354" t="str">
        <f t="shared" si="95"/>
        <v>hs</v>
      </c>
      <c r="J513" s="350">
        <f t="shared" si="96"/>
        <v>1002.1128675</v>
      </c>
      <c r="K513" s="360" t="s">
        <v>2299</v>
      </c>
      <c r="L513" s="20"/>
      <c r="O513" s="27"/>
      <c r="P513" s="110">
        <v>0</v>
      </c>
    </row>
    <row r="514" spans="1:19">
      <c r="A514" s="14" t="s">
        <v>2312</v>
      </c>
      <c r="D514" s="18">
        <v>4</v>
      </c>
      <c r="E514" s="26" t="str">
        <f>VLOOKUP($A514,MATMO,2,FALSE)</f>
        <v>Cargas Sociales Ayudante</v>
      </c>
      <c r="F514" s="311">
        <f>+F512</f>
        <v>10</v>
      </c>
      <c r="G514" s="307" t="str">
        <f>VLOOKUP($A514,MATMO,3,FALSE)</f>
        <v>hs</v>
      </c>
      <c r="H514" s="110">
        <f>VLOOKUP($A514,MATMO,4,FALSE)*$Q$7</f>
        <v>45.108248750000001</v>
      </c>
      <c r="I514" s="354" t="str">
        <f t="shared" si="95"/>
        <v>hs</v>
      </c>
      <c r="J514" s="350">
        <f t="shared" si="96"/>
        <v>451.08248750000001</v>
      </c>
      <c r="K514" s="360" t="s">
        <v>2299</v>
      </c>
      <c r="L514" s="20"/>
      <c r="O514" s="27"/>
      <c r="P514" s="110">
        <v>0</v>
      </c>
    </row>
    <row r="515" spans="1:19" ht="16.5" thickBot="1">
      <c r="A515" s="14" t="s">
        <v>83</v>
      </c>
      <c r="D515" s="18">
        <v>5</v>
      </c>
      <c r="E515" s="26" t="str">
        <f>VLOOKUP($A515,MATMO,2,FALSE)</f>
        <v>-</v>
      </c>
      <c r="F515" s="311"/>
      <c r="G515" s="307" t="str">
        <f>VLOOKUP($A515,MATMO,3,FALSE)</f>
        <v>-</v>
      </c>
      <c r="H515" s="110">
        <f>VLOOKUP($A515,MATMO,4,FALSE)*$Q$7</f>
        <v>0</v>
      </c>
      <c r="I515" s="537" t="str">
        <f t="shared" si="95"/>
        <v>-</v>
      </c>
      <c r="J515" s="538">
        <f t="shared" si="96"/>
        <v>0</v>
      </c>
      <c r="K515" s="539" t="s">
        <v>2299</v>
      </c>
      <c r="L515" s="20"/>
      <c r="O515" s="27"/>
      <c r="P515" s="110">
        <v>0</v>
      </c>
      <c r="R515" s="29" t="s">
        <v>2307</v>
      </c>
    </row>
    <row r="516" spans="1:19" ht="16.5" thickBot="1">
      <c r="A516" s="14">
        <f>A476+1</f>
        <v>11</v>
      </c>
      <c r="B516" s="14" t="str">
        <f>"MO" &amp; TEXT(A516,"##000")</f>
        <v>MO011</v>
      </c>
      <c r="D516" s="18"/>
      <c r="E516" s="591" t="s">
        <v>2301</v>
      </c>
      <c r="F516" s="592"/>
      <c r="G516" s="592"/>
      <c r="H516" s="592"/>
      <c r="I516" s="327"/>
      <c r="J516" s="362">
        <f>SUM(J511:J515)</f>
        <v>2974.1153549999999</v>
      </c>
      <c r="K516" s="365" t="str">
        <f>+G511</f>
        <v>hs</v>
      </c>
      <c r="L516" s="20"/>
      <c r="N516" s="111">
        <f>+P516+R516</f>
        <v>2945</v>
      </c>
      <c r="O516" s="27"/>
      <c r="P516" s="27">
        <f>SUM(P509:P515)</f>
        <v>1550</v>
      </c>
      <c r="Q516" s="26">
        <v>0.9</v>
      </c>
      <c r="R516" s="287">
        <f>+Q516*P516</f>
        <v>1395</v>
      </c>
      <c r="S516" s="288"/>
    </row>
    <row r="517" spans="1:19">
      <c r="D517" s="18"/>
      <c r="E517" s="593" t="s">
        <v>101</v>
      </c>
      <c r="F517" s="594"/>
      <c r="G517" s="594"/>
      <c r="H517" s="594"/>
      <c r="I517" s="594"/>
      <c r="J517" s="595"/>
      <c r="K517" s="347"/>
      <c r="L517" s="20"/>
      <c r="P517" s="14" t="s">
        <v>2308</v>
      </c>
    </row>
    <row r="518" spans="1:19">
      <c r="A518" s="14" t="s">
        <v>119</v>
      </c>
      <c r="D518" s="18">
        <v>1</v>
      </c>
      <c r="E518" s="26" t="str">
        <f>VLOOKUP($A518,MATMO,2,FALSE)</f>
        <v>Herramientas de Mano</v>
      </c>
      <c r="F518" s="311">
        <v>1</v>
      </c>
      <c r="G518" s="307" t="str">
        <f>VLOOKUP($A518,MATMO,3,FALSE)</f>
        <v>gl</v>
      </c>
      <c r="H518" s="110">
        <f>+(J509+J516)*$Q$5</f>
        <v>261.80863535449998</v>
      </c>
      <c r="I518" s="345" t="str">
        <f>+G518</f>
        <v>gl</v>
      </c>
      <c r="J518" s="350">
        <f t="shared" ref="J518:J522" si="97">+H518*F518</f>
        <v>261.80863535449998</v>
      </c>
      <c r="K518" s="360" t="s">
        <v>2299</v>
      </c>
      <c r="L518" s="20"/>
      <c r="M518" s="14" t="s">
        <v>2004</v>
      </c>
    </row>
    <row r="519" spans="1:19">
      <c r="A519" s="14" t="s">
        <v>134</v>
      </c>
      <c r="D519" s="18">
        <v>2</v>
      </c>
      <c r="E519" s="26" t="str">
        <f>VLOOKUP($A519,MATMO,2,FALSE)</f>
        <v>Retroexcavadora</v>
      </c>
      <c r="F519" s="311">
        <v>0.1</v>
      </c>
      <c r="G519" s="307" t="str">
        <f>VLOOKUP($A519,MATMO,3,FALSE)</f>
        <v>hs</v>
      </c>
      <c r="H519" s="110">
        <f>VLOOKUP($A519,MATMO,4,FALSE)*$Q$6</f>
        <v>450</v>
      </c>
      <c r="I519" s="345" t="str">
        <f t="shared" ref="I519:I522" si="98">+G519</f>
        <v>hs</v>
      </c>
      <c r="J519" s="350">
        <f t="shared" si="97"/>
        <v>45</v>
      </c>
      <c r="K519" s="360" t="s">
        <v>2299</v>
      </c>
      <c r="L519" s="20"/>
    </row>
    <row r="520" spans="1:19">
      <c r="A520" s="14" t="s">
        <v>118</v>
      </c>
      <c r="D520" s="18">
        <v>3</v>
      </c>
      <c r="E520" s="26" t="str">
        <f>VLOOKUP($A520,MATMO,2,FALSE)</f>
        <v>-</v>
      </c>
      <c r="F520" s="311"/>
      <c r="G520" s="307" t="str">
        <f>VLOOKUP($A520,MATMO,3,FALSE)</f>
        <v>-</v>
      </c>
      <c r="H520" s="110">
        <f>VLOOKUP($A520,MATMO,4,FALSE)*$Q$6</f>
        <v>0</v>
      </c>
      <c r="I520" s="543" t="str">
        <f t="shared" si="98"/>
        <v>-</v>
      </c>
      <c r="J520" s="538">
        <f t="shared" si="97"/>
        <v>0</v>
      </c>
      <c r="K520" s="539" t="s">
        <v>2299</v>
      </c>
      <c r="L520" s="20"/>
    </row>
    <row r="521" spans="1:19">
      <c r="A521" s="14" t="s">
        <v>118</v>
      </c>
      <c r="D521" s="18">
        <v>4</v>
      </c>
      <c r="E521" s="26" t="str">
        <f>VLOOKUP($A521,MATMO,2,FALSE)</f>
        <v>-</v>
      </c>
      <c r="F521" s="311"/>
      <c r="G521" s="307" t="str">
        <f>VLOOKUP($A521,MATMO,3,FALSE)</f>
        <v>-</v>
      </c>
      <c r="H521" s="110">
        <f>VLOOKUP($A521,MATMO,4,FALSE)*$Q$6</f>
        <v>0</v>
      </c>
      <c r="I521" s="543" t="str">
        <f t="shared" si="98"/>
        <v>-</v>
      </c>
      <c r="J521" s="538">
        <f t="shared" si="97"/>
        <v>0</v>
      </c>
      <c r="K521" s="539" t="s">
        <v>2299</v>
      </c>
      <c r="L521" s="20"/>
    </row>
    <row r="522" spans="1:19">
      <c r="A522" s="14" t="s">
        <v>118</v>
      </c>
      <c r="D522" s="18">
        <v>5</v>
      </c>
      <c r="E522" s="26" t="str">
        <f>VLOOKUP($A522,MATMO,2,FALSE)</f>
        <v>-</v>
      </c>
      <c r="F522" s="311"/>
      <c r="G522" s="307" t="str">
        <f>VLOOKUP($A522,MATMO,3,FALSE)</f>
        <v>-</v>
      </c>
      <c r="H522" s="110">
        <f>VLOOKUP($A522,MATMO,4,FALSE)*$Q$6</f>
        <v>0</v>
      </c>
      <c r="I522" s="543" t="str">
        <f t="shared" si="98"/>
        <v>-</v>
      </c>
      <c r="J522" s="538">
        <f t="shared" si="97"/>
        <v>0</v>
      </c>
      <c r="K522" s="539" t="s">
        <v>2299</v>
      </c>
      <c r="L522" s="20"/>
    </row>
    <row r="523" spans="1:19">
      <c r="A523" s="14">
        <f>A476+1</f>
        <v>11</v>
      </c>
      <c r="B523" s="14" t="str">
        <f>"E" &amp; TEXT(A523,"##000")</f>
        <v>E011</v>
      </c>
      <c r="D523" s="18"/>
      <c r="E523" s="591" t="s">
        <v>2300</v>
      </c>
      <c r="F523" s="592"/>
      <c r="G523" s="592"/>
      <c r="H523" s="592"/>
      <c r="I523" s="327"/>
      <c r="J523" s="362">
        <f>SUM(J518:J522)</f>
        <v>306.80863535449998</v>
      </c>
      <c r="K523" s="365" t="s">
        <v>116</v>
      </c>
      <c r="L523" s="20"/>
    </row>
    <row r="524" spans="1:19">
      <c r="D524" s="18"/>
      <c r="E524" s="596"/>
      <c r="F524" s="597"/>
      <c r="G524" s="597"/>
      <c r="H524" s="597"/>
      <c r="I524" s="597"/>
      <c r="J524" s="598"/>
      <c r="K524" s="348"/>
      <c r="L524" s="20"/>
    </row>
    <row r="525" spans="1:19">
      <c r="D525" s="18"/>
      <c r="E525" s="591" t="s">
        <v>2306</v>
      </c>
      <c r="F525" s="592"/>
      <c r="G525" s="592"/>
      <c r="H525" s="592"/>
      <c r="I525" s="327"/>
      <c r="J525" s="308">
        <f>+J523+J516+J509</f>
        <v>6852.0245192169987</v>
      </c>
      <c r="K525" s="365" t="str">
        <f>+F486</f>
        <v>m3</v>
      </c>
      <c r="L525" s="20"/>
    </row>
    <row r="526" spans="1:19">
      <c r="D526" s="18"/>
      <c r="E526" s="591" t="s">
        <v>2305</v>
      </c>
      <c r="F526" s="592"/>
      <c r="G526" s="592"/>
      <c r="H526" s="592"/>
      <c r="I526" s="406">
        <f>+$Q$9</f>
        <v>1.6902999999999999</v>
      </c>
      <c r="J526" s="308">
        <f>+$Q$9*J525</f>
        <v>11581.977044832493</v>
      </c>
      <c r="K526" s="365" t="str">
        <f>+F486</f>
        <v>m3</v>
      </c>
      <c r="L526" s="20"/>
    </row>
    <row r="527" spans="1:19">
      <c r="A527" s="14">
        <f>A480+1</f>
        <v>11</v>
      </c>
      <c r="B527" s="14" t="str">
        <f>"TR" &amp; TEXT(A527,"##000")</f>
        <v>TR011</v>
      </c>
      <c r="C527" s="14">
        <f>+C480+1</f>
        <v>11</v>
      </c>
      <c r="D527" s="18"/>
      <c r="E527" s="591" t="s">
        <v>2304</v>
      </c>
      <c r="F527" s="592"/>
      <c r="G527" s="592"/>
      <c r="H527" s="592"/>
      <c r="I527" s="327"/>
      <c r="J527" s="308">
        <f>+J526</f>
        <v>11581.977044832493</v>
      </c>
      <c r="K527" s="365" t="str">
        <f>+F486</f>
        <v>m3</v>
      </c>
      <c r="L527" s="20"/>
    </row>
    <row r="528" spans="1:19" ht="16.5" thickBot="1">
      <c r="D528" s="21"/>
      <c r="E528" s="30"/>
      <c r="F528" s="30"/>
      <c r="G528" s="30"/>
      <c r="H528" s="30"/>
      <c r="I528" s="30"/>
      <c r="J528" s="30"/>
      <c r="K528" s="349"/>
      <c r="L528" s="22"/>
    </row>
    <row r="529" spans="1:13" ht="16.5" thickTop="1">
      <c r="D529" s="15"/>
      <c r="E529" s="16"/>
      <c r="F529" s="16"/>
      <c r="G529" s="16"/>
      <c r="H529" s="16"/>
      <c r="I529" s="16"/>
      <c r="J529" s="16"/>
      <c r="K529" s="16"/>
      <c r="L529" s="17"/>
    </row>
    <row r="530" spans="1:13">
      <c r="A530" s="14" t="s">
        <v>1823</v>
      </c>
      <c r="D530" s="18"/>
      <c r="E530" s="23" t="s">
        <v>95</v>
      </c>
      <c r="F530" s="24" t="str">
        <f>VLOOKUP($A530,DATRUB,3,FALSE)</f>
        <v>RUBRO III:</v>
      </c>
      <c r="G530" s="599" t="str">
        <f>VLOOKUP($A530,DATRUB,4,FALSE)</f>
        <v xml:space="preserve"> ESTRUCTURA RESISTENTE</v>
      </c>
      <c r="H530" s="599"/>
      <c r="I530" s="599"/>
      <c r="J530" s="599"/>
      <c r="K530" s="599"/>
      <c r="L530" s="20"/>
    </row>
    <row r="531" spans="1:13" ht="35.1" customHeight="1">
      <c r="A531" s="14" t="s">
        <v>1828</v>
      </c>
      <c r="D531" s="18"/>
      <c r="E531" s="23" t="s">
        <v>96</v>
      </c>
      <c r="F531" s="399">
        <f>VLOOKUP($A531,DATRUB,3,FALSE)</f>
        <v>3.5</v>
      </c>
      <c r="G531" s="599" t="str">
        <f>VLOOKUP($A531,DATRUB,4,FALSE)</f>
        <v>Columnas de Carga</v>
      </c>
      <c r="H531" s="599"/>
      <c r="I531" s="599"/>
      <c r="J531" s="599"/>
      <c r="K531" s="599"/>
      <c r="L531" s="20"/>
    </row>
    <row r="532" spans="1:13" ht="35.1" customHeight="1">
      <c r="A532" s="14" t="s">
        <v>1828</v>
      </c>
      <c r="D532" s="18"/>
      <c r="E532" s="23" t="s">
        <v>97</v>
      </c>
      <c r="F532" s="399">
        <f>VLOOKUP($A532,DATRUB,3,FALSE)</f>
        <v>3.5</v>
      </c>
      <c r="G532" s="599" t="str">
        <f>VLOOKUP($A532,DATRUB,4,FALSE)</f>
        <v>Columnas de Carga</v>
      </c>
      <c r="H532" s="599"/>
      <c r="I532" s="599"/>
      <c r="J532" s="599"/>
      <c r="K532" s="599"/>
      <c r="L532" s="20"/>
    </row>
    <row r="533" spans="1:13">
      <c r="D533" s="18"/>
      <c r="E533" s="23" t="s">
        <v>98</v>
      </c>
      <c r="F533" s="24" t="str">
        <f>VLOOKUP($A532,DATRUB,5,FALSE)</f>
        <v>m3</v>
      </c>
      <c r="G533" s="600"/>
      <c r="H533" s="600"/>
      <c r="I533" s="600"/>
      <c r="J533" s="600"/>
      <c r="K533" s="600"/>
      <c r="L533" s="20"/>
    </row>
    <row r="534" spans="1:13">
      <c r="D534" s="18"/>
      <c r="E534" s="24" t="s">
        <v>1158</v>
      </c>
      <c r="F534" s="25" t="s">
        <v>1250</v>
      </c>
      <c r="G534" s="24" t="s">
        <v>24</v>
      </c>
      <c r="H534" s="24" t="s">
        <v>25</v>
      </c>
      <c r="I534" s="24" t="s">
        <v>24</v>
      </c>
      <c r="J534" s="24" t="s">
        <v>2298</v>
      </c>
      <c r="K534" s="24" t="s">
        <v>24</v>
      </c>
      <c r="L534" s="20"/>
    </row>
    <row r="535" spans="1:13">
      <c r="D535" s="18"/>
      <c r="E535" s="593" t="s">
        <v>99</v>
      </c>
      <c r="F535" s="594"/>
      <c r="G535" s="594"/>
      <c r="H535" s="594"/>
      <c r="I535" s="594"/>
      <c r="J535" s="594"/>
      <c r="K535" s="595"/>
      <c r="L535" s="20"/>
    </row>
    <row r="536" spans="1:13">
      <c r="A536" s="14" t="s">
        <v>2365</v>
      </c>
      <c r="D536" s="18">
        <v>1</v>
      </c>
      <c r="E536" s="355" t="str">
        <f t="shared" ref="E536:E555" si="99">VLOOKUP($A536,MATMO,2,FALSE)</f>
        <v>Cemento Puzolanico</v>
      </c>
      <c r="F536" s="400">
        <v>380</v>
      </c>
      <c r="G536" s="357" t="str">
        <f t="shared" ref="G536:G555" si="100">VLOOKUP($A536,MATMO,3,FALSE)</f>
        <v>kg</v>
      </c>
      <c r="H536" s="358">
        <f t="shared" ref="H536:H555" si="101">VLOOKUP($A536,MATMO,4,FALSE)*$Q$6</f>
        <v>2.0474999999999999</v>
      </c>
      <c r="I536" s="359" t="str">
        <f t="shared" ref="I536:I555" si="102">+G536</f>
        <v>kg</v>
      </c>
      <c r="J536" s="361">
        <f>+H536*F536</f>
        <v>778.05</v>
      </c>
      <c r="K536" s="360" t="s">
        <v>2299</v>
      </c>
      <c r="L536" s="20"/>
      <c r="M536" s="14" t="s">
        <v>2005</v>
      </c>
    </row>
    <row r="537" spans="1:13">
      <c r="A537" s="14" t="s">
        <v>2366</v>
      </c>
      <c r="D537" s="18">
        <v>2</v>
      </c>
      <c r="E537" s="26" t="str">
        <f t="shared" si="99"/>
        <v>Arena</v>
      </c>
      <c r="F537" s="400">
        <v>0.7</v>
      </c>
      <c r="G537" s="307" t="str">
        <f t="shared" si="100"/>
        <v>m³</v>
      </c>
      <c r="H537" s="351">
        <f t="shared" si="101"/>
        <v>170</v>
      </c>
      <c r="I537" s="354" t="str">
        <f t="shared" si="102"/>
        <v>m³</v>
      </c>
      <c r="J537" s="350">
        <f t="shared" ref="J537:J555" si="103">+H537*F537</f>
        <v>118.99999999999999</v>
      </c>
      <c r="K537" s="360" t="s">
        <v>2299</v>
      </c>
      <c r="L537" s="20"/>
    </row>
    <row r="538" spans="1:13">
      <c r="A538" s="14" t="s">
        <v>2367</v>
      </c>
      <c r="D538" s="18">
        <v>3</v>
      </c>
      <c r="E538" s="26" t="str">
        <f t="shared" si="99"/>
        <v>Ripio</v>
      </c>
      <c r="F538" s="400">
        <v>0.7</v>
      </c>
      <c r="G538" s="307" t="str">
        <f t="shared" si="100"/>
        <v>m³</v>
      </c>
      <c r="H538" s="351">
        <f t="shared" si="101"/>
        <v>140</v>
      </c>
      <c r="I538" s="354" t="str">
        <f t="shared" si="102"/>
        <v>m³</v>
      </c>
      <c r="J538" s="350">
        <f t="shared" si="103"/>
        <v>98</v>
      </c>
      <c r="K538" s="360" t="s">
        <v>2299</v>
      </c>
      <c r="L538" s="20"/>
    </row>
    <row r="539" spans="1:13">
      <c r="A539" s="14" t="s">
        <v>2368</v>
      </c>
      <c r="D539" s="18">
        <v>4</v>
      </c>
      <c r="E539" s="26" t="str">
        <f t="shared" si="99"/>
        <v>Alambre N° 14</v>
      </c>
      <c r="F539" s="400">
        <v>3</v>
      </c>
      <c r="G539" s="307" t="str">
        <f t="shared" si="100"/>
        <v>kg</v>
      </c>
      <c r="H539" s="351">
        <f t="shared" si="101"/>
        <v>24.334</v>
      </c>
      <c r="I539" s="354" t="str">
        <f t="shared" si="102"/>
        <v>kg</v>
      </c>
      <c r="J539" s="350">
        <f t="shared" si="103"/>
        <v>73.001999999999995</v>
      </c>
      <c r="K539" s="360" t="s">
        <v>2299</v>
      </c>
      <c r="L539" s="20"/>
    </row>
    <row r="540" spans="1:13">
      <c r="A540" s="14" t="s">
        <v>2369</v>
      </c>
      <c r="D540" s="18">
        <v>5</v>
      </c>
      <c r="E540" s="26" t="str">
        <f t="shared" si="99"/>
        <v>Hierro</v>
      </c>
      <c r="F540" s="401">
        <v>150</v>
      </c>
      <c r="G540" s="307" t="str">
        <f t="shared" si="100"/>
        <v>kg</v>
      </c>
      <c r="H540" s="351">
        <f t="shared" si="101"/>
        <v>15.588335288624991</v>
      </c>
      <c r="I540" s="354" t="str">
        <f t="shared" si="102"/>
        <v>kg</v>
      </c>
      <c r="J540" s="350">
        <f t="shared" si="103"/>
        <v>2338.2502932937487</v>
      </c>
      <c r="K540" s="360" t="s">
        <v>2299</v>
      </c>
      <c r="L540" s="20"/>
    </row>
    <row r="541" spans="1:13">
      <c r="A541" s="14" t="s">
        <v>2370</v>
      </c>
      <c r="D541" s="18">
        <v>6</v>
      </c>
      <c r="E541" s="26" t="str">
        <f t="shared" si="99"/>
        <v>Encofrado</v>
      </c>
      <c r="F541" s="400">
        <v>1</v>
      </c>
      <c r="G541" s="307" t="str">
        <f t="shared" si="100"/>
        <v>m²</v>
      </c>
      <c r="H541" s="351">
        <f t="shared" si="101"/>
        <v>380</v>
      </c>
      <c r="I541" s="354" t="str">
        <f t="shared" si="102"/>
        <v>m²</v>
      </c>
      <c r="J541" s="350">
        <f t="shared" si="103"/>
        <v>380</v>
      </c>
      <c r="K541" s="360" t="s">
        <v>2299</v>
      </c>
      <c r="L541" s="20"/>
    </row>
    <row r="542" spans="1:13">
      <c r="A542" s="14" t="s">
        <v>2371</v>
      </c>
      <c r="D542" s="18">
        <v>7</v>
      </c>
      <c r="E542" s="26" t="str">
        <f t="shared" si="99"/>
        <v>Clavos 2"</v>
      </c>
      <c r="F542" s="400">
        <v>0.6</v>
      </c>
      <c r="G542" s="307" t="str">
        <f t="shared" si="100"/>
        <v>kg</v>
      </c>
      <c r="H542" s="351">
        <f t="shared" si="101"/>
        <v>20.83</v>
      </c>
      <c r="I542" s="354" t="str">
        <f t="shared" si="102"/>
        <v>kg</v>
      </c>
      <c r="J542" s="350">
        <f t="shared" si="103"/>
        <v>12.497999999999999</v>
      </c>
      <c r="K542" s="360" t="s">
        <v>2299</v>
      </c>
      <c r="L542" s="20"/>
    </row>
    <row r="543" spans="1:13">
      <c r="A543" s="14" t="s">
        <v>2372</v>
      </c>
      <c r="D543" s="18">
        <v>8</v>
      </c>
      <c r="E543" s="26" t="str">
        <f t="shared" si="99"/>
        <v xml:space="preserve">Maderas Accesorios </v>
      </c>
      <c r="F543" s="400">
        <v>1</v>
      </c>
      <c r="G543" s="307" t="str">
        <f t="shared" si="100"/>
        <v>gl</v>
      </c>
      <c r="H543" s="351">
        <f t="shared" si="101"/>
        <v>5</v>
      </c>
      <c r="I543" s="354" t="str">
        <f t="shared" si="102"/>
        <v>gl</v>
      </c>
      <c r="J543" s="350">
        <f t="shared" si="103"/>
        <v>5</v>
      </c>
      <c r="K543" s="360" t="s">
        <v>2299</v>
      </c>
      <c r="L543" s="20"/>
    </row>
    <row r="544" spans="1:13">
      <c r="A544" s="14" t="s">
        <v>31</v>
      </c>
      <c r="D544" s="18">
        <v>9</v>
      </c>
      <c r="E544" s="26" t="str">
        <f t="shared" si="99"/>
        <v>-</v>
      </c>
      <c r="F544" s="311"/>
      <c r="G544" s="307" t="str">
        <f t="shared" si="100"/>
        <v>-</v>
      </c>
      <c r="H544" s="351">
        <f t="shared" si="101"/>
        <v>0</v>
      </c>
      <c r="I544" s="537" t="str">
        <f t="shared" si="102"/>
        <v>-</v>
      </c>
      <c r="J544" s="538">
        <f t="shared" si="103"/>
        <v>0</v>
      </c>
      <c r="K544" s="539" t="s">
        <v>2299</v>
      </c>
      <c r="L544" s="20"/>
    </row>
    <row r="545" spans="1:16">
      <c r="A545" s="14" t="s">
        <v>31</v>
      </c>
      <c r="D545" s="18">
        <v>10</v>
      </c>
      <c r="E545" s="26" t="str">
        <f t="shared" si="99"/>
        <v>-</v>
      </c>
      <c r="F545" s="311"/>
      <c r="G545" s="307" t="str">
        <f t="shared" si="100"/>
        <v>-</v>
      </c>
      <c r="H545" s="351">
        <f t="shared" si="101"/>
        <v>0</v>
      </c>
      <c r="I545" s="537" t="str">
        <f t="shared" si="102"/>
        <v>-</v>
      </c>
      <c r="J545" s="538">
        <f t="shared" si="103"/>
        <v>0</v>
      </c>
      <c r="K545" s="539" t="s">
        <v>2299</v>
      </c>
      <c r="L545" s="20"/>
    </row>
    <row r="546" spans="1:16">
      <c r="A546" s="14" t="s">
        <v>31</v>
      </c>
      <c r="D546" s="18">
        <v>11</v>
      </c>
      <c r="E546" s="26" t="str">
        <f t="shared" si="99"/>
        <v>-</v>
      </c>
      <c r="F546" s="311"/>
      <c r="G546" s="307" t="str">
        <f t="shared" si="100"/>
        <v>-</v>
      </c>
      <c r="H546" s="351">
        <f t="shared" si="101"/>
        <v>0</v>
      </c>
      <c r="I546" s="537" t="str">
        <f t="shared" si="102"/>
        <v>-</v>
      </c>
      <c r="J546" s="538">
        <f t="shared" si="103"/>
        <v>0</v>
      </c>
      <c r="K546" s="539" t="s">
        <v>2299</v>
      </c>
      <c r="L546" s="20"/>
    </row>
    <row r="547" spans="1:16">
      <c r="A547" s="14" t="s">
        <v>31</v>
      </c>
      <c r="D547" s="18">
        <v>12</v>
      </c>
      <c r="E547" s="26" t="str">
        <f t="shared" si="99"/>
        <v>-</v>
      </c>
      <c r="F547" s="311"/>
      <c r="G547" s="307" t="str">
        <f t="shared" si="100"/>
        <v>-</v>
      </c>
      <c r="H547" s="352">
        <f t="shared" si="101"/>
        <v>0</v>
      </c>
      <c r="I547" s="537" t="str">
        <f t="shared" si="102"/>
        <v>-</v>
      </c>
      <c r="J547" s="538">
        <f t="shared" si="103"/>
        <v>0</v>
      </c>
      <c r="K547" s="539" t="s">
        <v>2299</v>
      </c>
      <c r="L547" s="20"/>
    </row>
    <row r="548" spans="1:16">
      <c r="A548" s="14" t="s">
        <v>31</v>
      </c>
      <c r="D548" s="18">
        <v>13</v>
      </c>
      <c r="E548" s="26" t="str">
        <f t="shared" si="99"/>
        <v>-</v>
      </c>
      <c r="F548" s="311"/>
      <c r="G548" s="307" t="str">
        <f t="shared" si="100"/>
        <v>-</v>
      </c>
      <c r="H548" s="352">
        <f t="shared" si="101"/>
        <v>0</v>
      </c>
      <c r="I548" s="537" t="str">
        <f t="shared" si="102"/>
        <v>-</v>
      </c>
      <c r="J548" s="538">
        <f t="shared" si="103"/>
        <v>0</v>
      </c>
      <c r="K548" s="539" t="s">
        <v>2299</v>
      </c>
      <c r="L548" s="20"/>
    </row>
    <row r="549" spans="1:16">
      <c r="A549" s="14" t="s">
        <v>31</v>
      </c>
      <c r="D549" s="18">
        <v>14</v>
      </c>
      <c r="E549" s="26" t="str">
        <f t="shared" si="99"/>
        <v>-</v>
      </c>
      <c r="F549" s="311"/>
      <c r="G549" s="307" t="str">
        <f t="shared" si="100"/>
        <v>-</v>
      </c>
      <c r="H549" s="352">
        <f t="shared" si="101"/>
        <v>0</v>
      </c>
      <c r="I549" s="537" t="str">
        <f t="shared" si="102"/>
        <v>-</v>
      </c>
      <c r="J549" s="538">
        <f t="shared" si="103"/>
        <v>0</v>
      </c>
      <c r="K549" s="539" t="s">
        <v>2299</v>
      </c>
      <c r="L549" s="20"/>
    </row>
    <row r="550" spans="1:16">
      <c r="A550" s="14" t="s">
        <v>31</v>
      </c>
      <c r="D550" s="18">
        <v>15</v>
      </c>
      <c r="E550" s="26" t="str">
        <f t="shared" si="99"/>
        <v>-</v>
      </c>
      <c r="F550" s="311"/>
      <c r="G550" s="307" t="str">
        <f t="shared" si="100"/>
        <v>-</v>
      </c>
      <c r="H550" s="352">
        <f t="shared" si="101"/>
        <v>0</v>
      </c>
      <c r="I550" s="537" t="str">
        <f t="shared" si="102"/>
        <v>-</v>
      </c>
      <c r="J550" s="538">
        <f t="shared" si="103"/>
        <v>0</v>
      </c>
      <c r="K550" s="539" t="s">
        <v>2299</v>
      </c>
      <c r="L550" s="20"/>
    </row>
    <row r="551" spans="1:16">
      <c r="A551" s="14" t="s">
        <v>31</v>
      </c>
      <c r="D551" s="18">
        <v>16</v>
      </c>
      <c r="E551" s="26" t="str">
        <f t="shared" si="99"/>
        <v>-</v>
      </c>
      <c r="F551" s="311"/>
      <c r="G551" s="307" t="str">
        <f t="shared" si="100"/>
        <v>-</v>
      </c>
      <c r="H551" s="352">
        <f t="shared" si="101"/>
        <v>0</v>
      </c>
      <c r="I551" s="537" t="str">
        <f t="shared" si="102"/>
        <v>-</v>
      </c>
      <c r="J551" s="538">
        <f t="shared" si="103"/>
        <v>0</v>
      </c>
      <c r="K551" s="539" t="s">
        <v>2299</v>
      </c>
      <c r="L551" s="20"/>
    </row>
    <row r="552" spans="1:16">
      <c r="A552" s="14" t="s">
        <v>31</v>
      </c>
      <c r="D552" s="18">
        <v>17</v>
      </c>
      <c r="E552" s="26" t="str">
        <f t="shared" si="99"/>
        <v>-</v>
      </c>
      <c r="F552" s="311"/>
      <c r="G552" s="307" t="str">
        <f t="shared" si="100"/>
        <v>-</v>
      </c>
      <c r="H552" s="352">
        <f t="shared" si="101"/>
        <v>0</v>
      </c>
      <c r="I552" s="537" t="str">
        <f t="shared" si="102"/>
        <v>-</v>
      </c>
      <c r="J552" s="538">
        <f t="shared" si="103"/>
        <v>0</v>
      </c>
      <c r="K552" s="539" t="s">
        <v>2299</v>
      </c>
      <c r="L552" s="20"/>
    </row>
    <row r="553" spans="1:16">
      <c r="A553" s="14" t="s">
        <v>31</v>
      </c>
      <c r="D553" s="18">
        <v>18</v>
      </c>
      <c r="E553" s="26" t="str">
        <f t="shared" si="99"/>
        <v>-</v>
      </c>
      <c r="F553" s="311"/>
      <c r="G553" s="307" t="str">
        <f t="shared" si="100"/>
        <v>-</v>
      </c>
      <c r="H553" s="352">
        <f t="shared" si="101"/>
        <v>0</v>
      </c>
      <c r="I553" s="537" t="str">
        <f t="shared" si="102"/>
        <v>-</v>
      </c>
      <c r="J553" s="538">
        <f t="shared" si="103"/>
        <v>0</v>
      </c>
      <c r="K553" s="539" t="s">
        <v>2299</v>
      </c>
      <c r="L553" s="20"/>
    </row>
    <row r="554" spans="1:16">
      <c r="A554" s="14" t="s">
        <v>31</v>
      </c>
      <c r="D554" s="18">
        <v>19</v>
      </c>
      <c r="E554" s="26" t="str">
        <f t="shared" si="99"/>
        <v>-</v>
      </c>
      <c r="F554" s="311"/>
      <c r="G554" s="307" t="str">
        <f t="shared" si="100"/>
        <v>-</v>
      </c>
      <c r="H554" s="352">
        <f t="shared" si="101"/>
        <v>0</v>
      </c>
      <c r="I554" s="537" t="str">
        <f t="shared" si="102"/>
        <v>-</v>
      </c>
      <c r="J554" s="538">
        <f t="shared" si="103"/>
        <v>0</v>
      </c>
      <c r="K554" s="539" t="s">
        <v>2299</v>
      </c>
      <c r="L554" s="20"/>
    </row>
    <row r="555" spans="1:16">
      <c r="A555" s="14" t="s">
        <v>31</v>
      </c>
      <c r="D555" s="18">
        <v>20</v>
      </c>
      <c r="E555" s="26" t="str">
        <f t="shared" si="99"/>
        <v>-</v>
      </c>
      <c r="F555" s="311"/>
      <c r="G555" s="307" t="str">
        <f t="shared" si="100"/>
        <v>-</v>
      </c>
      <c r="H555" s="352">
        <f t="shared" si="101"/>
        <v>0</v>
      </c>
      <c r="I555" s="537" t="str">
        <f t="shared" si="102"/>
        <v>-</v>
      </c>
      <c r="J555" s="541">
        <f t="shared" si="103"/>
        <v>0</v>
      </c>
      <c r="K555" s="539" t="s">
        <v>2299</v>
      </c>
      <c r="L555" s="20"/>
    </row>
    <row r="556" spans="1:16">
      <c r="A556" s="14">
        <f>A523+1</f>
        <v>12</v>
      </c>
      <c r="B556" s="14" t="str">
        <f>"MA" &amp; TEXT(A556,"##000")</f>
        <v>MA012</v>
      </c>
      <c r="D556" s="18"/>
      <c r="E556" s="591" t="s">
        <v>2302</v>
      </c>
      <c r="F556" s="592"/>
      <c r="G556" s="592"/>
      <c r="H556" s="592"/>
      <c r="I556" s="327"/>
      <c r="J556" s="353">
        <f>SUM(J536:J555)</f>
        <v>3803.8002932937484</v>
      </c>
      <c r="K556" s="365" t="str">
        <f>+F533</f>
        <v>m3</v>
      </c>
      <c r="L556" s="20"/>
      <c r="O556" s="27" t="s">
        <v>1525</v>
      </c>
      <c r="P556" s="110">
        <v>200</v>
      </c>
    </row>
    <row r="557" spans="1:16">
      <c r="D557" s="18"/>
      <c r="E557" s="593" t="s">
        <v>100</v>
      </c>
      <c r="F557" s="594"/>
      <c r="G557" s="594"/>
      <c r="H557" s="594"/>
      <c r="I557" s="594"/>
      <c r="J557" s="595"/>
      <c r="K557" s="347"/>
      <c r="L557" s="20"/>
      <c r="O557" s="27" t="s">
        <v>1524</v>
      </c>
      <c r="P557" s="110">
        <f>10*F540</f>
        <v>1500</v>
      </c>
    </row>
    <row r="558" spans="1:16">
      <c r="A558" s="14" t="s">
        <v>84</v>
      </c>
      <c r="D558" s="18">
        <v>1</v>
      </c>
      <c r="E558" s="26" t="str">
        <f>VLOOKUP($A558,MATMO,2,FALSE)</f>
        <v>Oficial</v>
      </c>
      <c r="F558" s="311">
        <v>30.2</v>
      </c>
      <c r="G558" s="307" t="str">
        <f>VLOOKUP($A558,MATMO,3,FALSE)</f>
        <v>hs</v>
      </c>
      <c r="H558" s="110">
        <f>VLOOKUP($A558,MATMO,4,FALSE)*$Q$7</f>
        <v>55.38</v>
      </c>
      <c r="I558" s="354" t="str">
        <f t="shared" ref="I558:I562" si="104">+G558</f>
        <v>hs</v>
      </c>
      <c r="J558" s="350">
        <f t="shared" ref="J558:J562" si="105">+H558*F558</f>
        <v>1672.4760000000001</v>
      </c>
      <c r="K558" s="360" t="s">
        <v>2299</v>
      </c>
      <c r="L558" s="20"/>
      <c r="M558" s="14" t="s">
        <v>2006</v>
      </c>
      <c r="O558" s="27" t="s">
        <v>1526</v>
      </c>
      <c r="P558" s="110">
        <v>300</v>
      </c>
    </row>
    <row r="559" spans="1:16">
      <c r="A559" s="14" t="s">
        <v>85</v>
      </c>
      <c r="D559" s="18">
        <v>2</v>
      </c>
      <c r="E559" s="26" t="str">
        <f>VLOOKUP($A559,MATMO,2,FALSE)</f>
        <v>Ayudante</v>
      </c>
      <c r="F559" s="311">
        <v>10</v>
      </c>
      <c r="G559" s="307" t="str">
        <f>VLOOKUP($A559,MATMO,3,FALSE)</f>
        <v>hs</v>
      </c>
      <c r="H559" s="110">
        <f>VLOOKUP($A559,MATMO,4,FALSE)*$Q$7</f>
        <v>46.87</v>
      </c>
      <c r="I559" s="354" t="str">
        <f t="shared" si="104"/>
        <v>hs</v>
      </c>
      <c r="J559" s="350">
        <f t="shared" si="105"/>
        <v>468.7</v>
      </c>
      <c r="K559" s="360" t="s">
        <v>2299</v>
      </c>
      <c r="L559" s="20"/>
      <c r="O559" s="27" t="s">
        <v>1527</v>
      </c>
      <c r="P559" s="110">
        <v>200</v>
      </c>
    </row>
    <row r="560" spans="1:16">
      <c r="A560" s="14" t="s">
        <v>2311</v>
      </c>
      <c r="D560" s="18">
        <v>3</v>
      </c>
      <c r="E560" s="26" t="str">
        <f>VLOOKUP($A560,MATMO,2,FALSE)</f>
        <v>Cargas Sociales Oficial</v>
      </c>
      <c r="F560" s="311">
        <f>+F558</f>
        <v>30.2</v>
      </c>
      <c r="G560" s="307" t="str">
        <f>VLOOKUP($A560,MATMO,3,FALSE)</f>
        <v>hs</v>
      </c>
      <c r="H560" s="110">
        <f>VLOOKUP($A560,MATMO,4,FALSE)*$Q$7</f>
        <v>52.742782499999997</v>
      </c>
      <c r="I560" s="354" t="str">
        <f t="shared" si="104"/>
        <v>hs</v>
      </c>
      <c r="J560" s="350">
        <f t="shared" si="105"/>
        <v>1592.8320314999999</v>
      </c>
      <c r="K560" s="360" t="s">
        <v>2299</v>
      </c>
      <c r="L560" s="20"/>
      <c r="O560" s="27"/>
      <c r="P560" s="110">
        <v>0</v>
      </c>
    </row>
    <row r="561" spans="1:19">
      <c r="A561" s="14" t="s">
        <v>2312</v>
      </c>
      <c r="D561" s="18">
        <v>4</v>
      </c>
      <c r="E561" s="26" t="str">
        <f>VLOOKUP($A561,MATMO,2,FALSE)</f>
        <v>Cargas Sociales Ayudante</v>
      </c>
      <c r="F561" s="311">
        <f>+F559</f>
        <v>10</v>
      </c>
      <c r="G561" s="307" t="str">
        <f>VLOOKUP($A561,MATMO,3,FALSE)</f>
        <v>hs</v>
      </c>
      <c r="H561" s="110">
        <f>VLOOKUP($A561,MATMO,4,FALSE)*$Q$7</f>
        <v>45.108248750000001</v>
      </c>
      <c r="I561" s="354" t="str">
        <f t="shared" si="104"/>
        <v>hs</v>
      </c>
      <c r="J561" s="350">
        <f t="shared" si="105"/>
        <v>451.08248750000001</v>
      </c>
      <c r="K561" s="360" t="s">
        <v>2299</v>
      </c>
      <c r="L561" s="20"/>
      <c r="O561" s="27"/>
      <c r="P561" s="110">
        <v>0</v>
      </c>
    </row>
    <row r="562" spans="1:19" ht="16.5" thickBot="1">
      <c r="A562" s="14" t="s">
        <v>83</v>
      </c>
      <c r="D562" s="18">
        <v>5</v>
      </c>
      <c r="E562" s="26" t="str">
        <f>VLOOKUP($A562,MATMO,2,FALSE)</f>
        <v>-</v>
      </c>
      <c r="F562" s="311"/>
      <c r="G562" s="307" t="str">
        <f>VLOOKUP($A562,MATMO,3,FALSE)</f>
        <v>-</v>
      </c>
      <c r="H562" s="110">
        <f>VLOOKUP($A562,MATMO,4,FALSE)*$Q$7</f>
        <v>0</v>
      </c>
      <c r="I562" s="537" t="str">
        <f t="shared" si="104"/>
        <v>-</v>
      </c>
      <c r="J562" s="538">
        <f t="shared" si="105"/>
        <v>0</v>
      </c>
      <c r="K562" s="539" t="s">
        <v>2299</v>
      </c>
      <c r="L562" s="20"/>
      <c r="O562" s="27"/>
      <c r="P562" s="110">
        <v>0</v>
      </c>
      <c r="R562" s="29" t="s">
        <v>2307</v>
      </c>
    </row>
    <row r="563" spans="1:19" ht="16.5" thickBot="1">
      <c r="A563" s="14">
        <f>A523+1</f>
        <v>12</v>
      </c>
      <c r="B563" s="14" t="str">
        <f>"MO" &amp; TEXT(A563,"##000")</f>
        <v>MO012</v>
      </c>
      <c r="D563" s="18"/>
      <c r="E563" s="591" t="s">
        <v>2301</v>
      </c>
      <c r="F563" s="592"/>
      <c r="G563" s="592"/>
      <c r="H563" s="592"/>
      <c r="I563" s="327"/>
      <c r="J563" s="362">
        <f>SUM(J558:J562)</f>
        <v>4185.0905189999994</v>
      </c>
      <c r="K563" s="365" t="str">
        <f>+G558</f>
        <v>hs</v>
      </c>
      <c r="L563" s="20"/>
      <c r="N563" s="111">
        <f>+P563+R563</f>
        <v>4180</v>
      </c>
      <c r="O563" s="27"/>
      <c r="P563" s="27">
        <f>SUM(P556:P562)</f>
        <v>2200</v>
      </c>
      <c r="Q563" s="26">
        <v>0.9</v>
      </c>
      <c r="R563" s="287">
        <f>+Q563*P563</f>
        <v>1980</v>
      </c>
      <c r="S563" s="288"/>
    </row>
    <row r="564" spans="1:19">
      <c r="D564" s="18"/>
      <c r="E564" s="593" t="s">
        <v>101</v>
      </c>
      <c r="F564" s="594"/>
      <c r="G564" s="594"/>
      <c r="H564" s="594"/>
      <c r="I564" s="594"/>
      <c r="J564" s="595"/>
      <c r="K564" s="347"/>
      <c r="L564" s="20"/>
      <c r="P564" s="14" t="s">
        <v>2308</v>
      </c>
    </row>
    <row r="565" spans="1:19">
      <c r="A565" s="14" t="s">
        <v>119</v>
      </c>
      <c r="D565" s="18">
        <v>1</v>
      </c>
      <c r="E565" s="26" t="str">
        <f>VLOOKUP($A565,MATMO,2,FALSE)</f>
        <v>Herramientas de Mano</v>
      </c>
      <c r="F565" s="311">
        <v>1</v>
      </c>
      <c r="G565" s="307" t="str">
        <f>VLOOKUP($A565,MATMO,3,FALSE)</f>
        <v>gl</v>
      </c>
      <c r="H565" s="110">
        <f>+(J556+J563)*$Q$5</f>
        <v>319.55563249174992</v>
      </c>
      <c r="I565" s="345" t="str">
        <f>+G565</f>
        <v>gl</v>
      </c>
      <c r="J565" s="350">
        <f t="shared" ref="J565:J569" si="106">+H565*F565</f>
        <v>319.55563249174992</v>
      </c>
      <c r="K565" s="360" t="s">
        <v>2299</v>
      </c>
      <c r="L565" s="20"/>
      <c r="M565" s="14" t="s">
        <v>2004</v>
      </c>
    </row>
    <row r="566" spans="1:19">
      <c r="A566" s="14" t="s">
        <v>121</v>
      </c>
      <c r="D566" s="18">
        <v>2</v>
      </c>
      <c r="E566" s="26" t="str">
        <f>VLOOKUP($A566,MATMO,2,FALSE)</f>
        <v>Hormigonera</v>
      </c>
      <c r="F566" s="311">
        <v>1</v>
      </c>
      <c r="G566" s="307" t="str">
        <f>VLOOKUP($A566,MATMO,3,FALSE)</f>
        <v>hs</v>
      </c>
      <c r="H566" s="110">
        <f>VLOOKUP($A566,MATMO,4,FALSE)*$Q$6</f>
        <v>301.3085399449036</v>
      </c>
      <c r="I566" s="345" t="str">
        <f t="shared" ref="I566:I569" si="107">+G566</f>
        <v>hs</v>
      </c>
      <c r="J566" s="350">
        <f t="shared" si="106"/>
        <v>301.3085399449036</v>
      </c>
      <c r="K566" s="360" t="s">
        <v>2299</v>
      </c>
      <c r="L566" s="20"/>
    </row>
    <row r="567" spans="1:19">
      <c r="A567" s="14" t="s">
        <v>118</v>
      </c>
      <c r="D567" s="18">
        <v>3</v>
      </c>
      <c r="E567" s="26" t="str">
        <f>VLOOKUP($A567,MATMO,2,FALSE)</f>
        <v>-</v>
      </c>
      <c r="F567" s="311"/>
      <c r="G567" s="307" t="str">
        <f>VLOOKUP($A567,MATMO,3,FALSE)</f>
        <v>-</v>
      </c>
      <c r="H567" s="110">
        <f>VLOOKUP($A567,MATMO,4,FALSE)*$Q$6</f>
        <v>0</v>
      </c>
      <c r="I567" s="543" t="str">
        <f t="shared" si="107"/>
        <v>-</v>
      </c>
      <c r="J567" s="538">
        <f t="shared" si="106"/>
        <v>0</v>
      </c>
      <c r="K567" s="539" t="s">
        <v>2299</v>
      </c>
      <c r="L567" s="20"/>
    </row>
    <row r="568" spans="1:19">
      <c r="A568" s="14" t="s">
        <v>118</v>
      </c>
      <c r="D568" s="18">
        <v>4</v>
      </c>
      <c r="E568" s="26" t="str">
        <f>VLOOKUP($A568,MATMO,2,FALSE)</f>
        <v>-</v>
      </c>
      <c r="F568" s="311"/>
      <c r="G568" s="307" t="str">
        <f>VLOOKUP($A568,MATMO,3,FALSE)</f>
        <v>-</v>
      </c>
      <c r="H568" s="110">
        <f>VLOOKUP($A568,MATMO,4,FALSE)*$Q$6</f>
        <v>0</v>
      </c>
      <c r="I568" s="543" t="str">
        <f t="shared" si="107"/>
        <v>-</v>
      </c>
      <c r="J568" s="538">
        <f t="shared" si="106"/>
        <v>0</v>
      </c>
      <c r="K568" s="539" t="s">
        <v>2299</v>
      </c>
      <c r="L568" s="20"/>
    </row>
    <row r="569" spans="1:19">
      <c r="A569" s="14" t="s">
        <v>118</v>
      </c>
      <c r="D569" s="18">
        <v>5</v>
      </c>
      <c r="E569" s="26" t="str">
        <f>VLOOKUP($A569,MATMO,2,FALSE)</f>
        <v>-</v>
      </c>
      <c r="F569" s="311"/>
      <c r="G569" s="307" t="str">
        <f>VLOOKUP($A569,MATMO,3,FALSE)</f>
        <v>-</v>
      </c>
      <c r="H569" s="110">
        <f>VLOOKUP($A569,MATMO,4,FALSE)*$Q$6</f>
        <v>0</v>
      </c>
      <c r="I569" s="543" t="str">
        <f t="shared" si="107"/>
        <v>-</v>
      </c>
      <c r="J569" s="538">
        <f t="shared" si="106"/>
        <v>0</v>
      </c>
      <c r="K569" s="539" t="s">
        <v>2299</v>
      </c>
      <c r="L569" s="20"/>
    </row>
    <row r="570" spans="1:19">
      <c r="A570" s="14">
        <f>A523+1</f>
        <v>12</v>
      </c>
      <c r="B570" s="14" t="str">
        <f>"E" &amp; TEXT(A570,"##000")</f>
        <v>E012</v>
      </c>
      <c r="D570" s="18"/>
      <c r="E570" s="591" t="s">
        <v>2300</v>
      </c>
      <c r="F570" s="592"/>
      <c r="G570" s="592"/>
      <c r="H570" s="592"/>
      <c r="I570" s="327"/>
      <c r="J570" s="362">
        <f>SUM(J565:J569)</f>
        <v>620.86417243665346</v>
      </c>
      <c r="K570" s="365" t="s">
        <v>116</v>
      </c>
      <c r="L570" s="20"/>
    </row>
    <row r="571" spans="1:19">
      <c r="D571" s="18"/>
      <c r="E571" s="596"/>
      <c r="F571" s="597"/>
      <c r="G571" s="597"/>
      <c r="H571" s="597"/>
      <c r="I571" s="597"/>
      <c r="J571" s="598"/>
      <c r="K571" s="348"/>
      <c r="L571" s="20"/>
    </row>
    <row r="572" spans="1:19">
      <c r="D572" s="18"/>
      <c r="E572" s="591" t="s">
        <v>2306</v>
      </c>
      <c r="F572" s="592"/>
      <c r="G572" s="592"/>
      <c r="H572" s="592"/>
      <c r="I572" s="327"/>
      <c r="J572" s="308">
        <f>+J570+J563+J556</f>
        <v>8609.7549847304017</v>
      </c>
      <c r="K572" s="365" t="str">
        <f>+F533</f>
        <v>m3</v>
      </c>
      <c r="L572" s="20"/>
    </row>
    <row r="573" spans="1:19">
      <c r="D573" s="18"/>
      <c r="E573" s="591" t="s">
        <v>2305</v>
      </c>
      <c r="F573" s="592"/>
      <c r="G573" s="592"/>
      <c r="H573" s="592"/>
      <c r="I573" s="406">
        <f>+$Q$9</f>
        <v>1.6902999999999999</v>
      </c>
      <c r="J573" s="308">
        <f>+$Q$9*J572</f>
        <v>14553.068850689797</v>
      </c>
      <c r="K573" s="365" t="str">
        <f>+F533</f>
        <v>m3</v>
      </c>
      <c r="L573" s="20"/>
    </row>
    <row r="574" spans="1:19">
      <c r="A574" s="14">
        <f>A527+1</f>
        <v>12</v>
      </c>
      <c r="B574" s="14" t="str">
        <f>"TR" &amp; TEXT(A574,"##000")</f>
        <v>TR012</v>
      </c>
      <c r="C574" s="14">
        <f>+C527+1</f>
        <v>12</v>
      </c>
      <c r="D574" s="18"/>
      <c r="E574" s="591" t="s">
        <v>2304</v>
      </c>
      <c r="F574" s="592"/>
      <c r="G574" s="592"/>
      <c r="H574" s="592"/>
      <c r="I574" s="327"/>
      <c r="J574" s="308">
        <f>+J573</f>
        <v>14553.068850689797</v>
      </c>
      <c r="K574" s="365" t="str">
        <f>+F533</f>
        <v>m3</v>
      </c>
      <c r="L574" s="20"/>
    </row>
    <row r="575" spans="1:19" ht="16.5" thickBot="1">
      <c r="D575" s="21"/>
      <c r="E575" s="30"/>
      <c r="F575" s="30"/>
      <c r="G575" s="30"/>
      <c r="H575" s="30"/>
      <c r="I575" s="30"/>
      <c r="J575" s="30"/>
      <c r="K575" s="349"/>
      <c r="L575" s="22"/>
    </row>
    <row r="576" spans="1:19" ht="16.5" thickTop="1">
      <c r="D576" s="15"/>
      <c r="E576" s="16"/>
      <c r="F576" s="16"/>
      <c r="G576" s="16"/>
      <c r="H576" s="16"/>
      <c r="I576" s="16"/>
      <c r="J576" s="16"/>
      <c r="K576" s="16"/>
      <c r="L576" s="17"/>
    </row>
    <row r="577" spans="1:13">
      <c r="A577" s="14" t="s">
        <v>1823</v>
      </c>
      <c r="D577" s="18"/>
      <c r="E577" s="23" t="s">
        <v>95</v>
      </c>
      <c r="F577" s="24" t="str">
        <f>VLOOKUP($A577,DATRUB,3,FALSE)</f>
        <v>RUBRO III:</v>
      </c>
      <c r="G577" s="599" t="str">
        <f>VLOOKUP($A577,DATRUB,4,FALSE)</f>
        <v xml:space="preserve"> ESTRUCTURA RESISTENTE</v>
      </c>
      <c r="H577" s="599"/>
      <c r="I577" s="599"/>
      <c r="J577" s="599"/>
      <c r="K577" s="599"/>
      <c r="L577" s="20"/>
    </row>
    <row r="578" spans="1:13" ht="35.1" customHeight="1">
      <c r="A578" s="14" t="s">
        <v>1829</v>
      </c>
      <c r="D578" s="18"/>
      <c r="E578" s="23" t="s">
        <v>96</v>
      </c>
      <c r="F578" s="399">
        <f>VLOOKUP($A578,DATRUB,3,FALSE)</f>
        <v>3.6</v>
      </c>
      <c r="G578" s="599" t="str">
        <f>VLOOKUP($A578,DATRUB,4,FALSE)</f>
        <v>Columnas de Encadenado</v>
      </c>
      <c r="H578" s="599"/>
      <c r="I578" s="599"/>
      <c r="J578" s="599"/>
      <c r="K578" s="599"/>
      <c r="L578" s="20"/>
    </row>
    <row r="579" spans="1:13" ht="35.1" customHeight="1">
      <c r="A579" s="14" t="s">
        <v>1829</v>
      </c>
      <c r="D579" s="18"/>
      <c r="E579" s="23" t="s">
        <v>97</v>
      </c>
      <c r="F579" s="399">
        <f>VLOOKUP($A579,DATRUB,3,FALSE)</f>
        <v>3.6</v>
      </c>
      <c r="G579" s="599" t="str">
        <f>VLOOKUP($A579,DATRUB,4,FALSE)</f>
        <v>Columnas de Encadenado</v>
      </c>
      <c r="H579" s="599"/>
      <c r="I579" s="599"/>
      <c r="J579" s="599"/>
      <c r="K579" s="599"/>
      <c r="L579" s="20"/>
    </row>
    <row r="580" spans="1:13">
      <c r="D580" s="18"/>
      <c r="E580" s="23" t="s">
        <v>98</v>
      </c>
      <c r="F580" s="24" t="str">
        <f>VLOOKUP($A579,DATRUB,5,FALSE)</f>
        <v>m3</v>
      </c>
      <c r="G580" s="600"/>
      <c r="H580" s="600"/>
      <c r="I580" s="600"/>
      <c r="J580" s="600"/>
      <c r="K580" s="600"/>
      <c r="L580" s="20"/>
    </row>
    <row r="581" spans="1:13">
      <c r="D581" s="18"/>
      <c r="E581" s="24" t="s">
        <v>1158</v>
      </c>
      <c r="F581" s="25" t="s">
        <v>1250</v>
      </c>
      <c r="G581" s="24" t="s">
        <v>24</v>
      </c>
      <c r="H581" s="24" t="s">
        <v>25</v>
      </c>
      <c r="I581" s="24" t="s">
        <v>24</v>
      </c>
      <c r="J581" s="24" t="s">
        <v>2298</v>
      </c>
      <c r="K581" s="24" t="s">
        <v>24</v>
      </c>
      <c r="L581" s="20"/>
    </row>
    <row r="582" spans="1:13">
      <c r="D582" s="18"/>
      <c r="E582" s="593" t="s">
        <v>99</v>
      </c>
      <c r="F582" s="594"/>
      <c r="G582" s="594"/>
      <c r="H582" s="594"/>
      <c r="I582" s="594"/>
      <c r="J582" s="594"/>
      <c r="K582" s="595"/>
      <c r="L582" s="20"/>
    </row>
    <row r="583" spans="1:13">
      <c r="A583" s="14" t="s">
        <v>2365</v>
      </c>
      <c r="D583" s="18">
        <v>1</v>
      </c>
      <c r="E583" s="355" t="str">
        <f t="shared" ref="E583:E602" si="108">VLOOKUP($A583,MATMO,2,FALSE)</f>
        <v>Cemento Puzolanico</v>
      </c>
      <c r="F583" s="400">
        <v>380</v>
      </c>
      <c r="G583" s="357" t="str">
        <f t="shared" ref="G583:G602" si="109">VLOOKUP($A583,MATMO,3,FALSE)</f>
        <v>kg</v>
      </c>
      <c r="H583" s="358">
        <f t="shared" ref="H583:H602" si="110">VLOOKUP($A583,MATMO,4,FALSE)*$Q$6</f>
        <v>2.0474999999999999</v>
      </c>
      <c r="I583" s="359" t="str">
        <f t="shared" ref="I583:I602" si="111">+G583</f>
        <v>kg</v>
      </c>
      <c r="J583" s="361">
        <f>+H583*F583</f>
        <v>778.05</v>
      </c>
      <c r="K583" s="360" t="s">
        <v>2299</v>
      </c>
      <c r="L583" s="20"/>
      <c r="M583" s="14" t="s">
        <v>2005</v>
      </c>
    </row>
    <row r="584" spans="1:13">
      <c r="A584" s="14" t="s">
        <v>2366</v>
      </c>
      <c r="D584" s="18">
        <v>2</v>
      </c>
      <c r="E584" s="26" t="str">
        <f t="shared" si="108"/>
        <v>Arena</v>
      </c>
      <c r="F584" s="400">
        <v>0.7</v>
      </c>
      <c r="G584" s="307" t="str">
        <f t="shared" si="109"/>
        <v>m³</v>
      </c>
      <c r="H584" s="351">
        <f t="shared" si="110"/>
        <v>170</v>
      </c>
      <c r="I584" s="354" t="str">
        <f t="shared" si="111"/>
        <v>m³</v>
      </c>
      <c r="J584" s="350">
        <f t="shared" ref="J584:J602" si="112">+H584*F584</f>
        <v>118.99999999999999</v>
      </c>
      <c r="K584" s="360" t="s">
        <v>2299</v>
      </c>
      <c r="L584" s="20"/>
    </row>
    <row r="585" spans="1:13">
      <c r="A585" s="14" t="s">
        <v>2367</v>
      </c>
      <c r="D585" s="18">
        <v>3</v>
      </c>
      <c r="E585" s="26" t="str">
        <f t="shared" si="108"/>
        <v>Ripio</v>
      </c>
      <c r="F585" s="400">
        <v>0.7</v>
      </c>
      <c r="G585" s="307" t="str">
        <f t="shared" si="109"/>
        <v>m³</v>
      </c>
      <c r="H585" s="351">
        <f t="shared" si="110"/>
        <v>140</v>
      </c>
      <c r="I585" s="354" t="str">
        <f t="shared" si="111"/>
        <v>m³</v>
      </c>
      <c r="J585" s="350">
        <f t="shared" si="112"/>
        <v>98</v>
      </c>
      <c r="K585" s="360" t="s">
        <v>2299</v>
      </c>
      <c r="L585" s="20"/>
    </row>
    <row r="586" spans="1:13">
      <c r="A586" s="14" t="s">
        <v>2368</v>
      </c>
      <c r="D586" s="18">
        <v>4</v>
      </c>
      <c r="E586" s="26" t="str">
        <f t="shared" si="108"/>
        <v>Alambre N° 14</v>
      </c>
      <c r="F586" s="400">
        <v>3</v>
      </c>
      <c r="G586" s="307" t="str">
        <f t="shared" si="109"/>
        <v>kg</v>
      </c>
      <c r="H586" s="351">
        <f t="shared" si="110"/>
        <v>24.334</v>
      </c>
      <c r="I586" s="354" t="str">
        <f t="shared" si="111"/>
        <v>kg</v>
      </c>
      <c r="J586" s="350">
        <f t="shared" si="112"/>
        <v>73.001999999999995</v>
      </c>
      <c r="K586" s="360" t="s">
        <v>2299</v>
      </c>
      <c r="L586" s="20"/>
    </row>
    <row r="587" spans="1:13">
      <c r="A587" s="14" t="s">
        <v>2369</v>
      </c>
      <c r="D587" s="18">
        <v>5</v>
      </c>
      <c r="E587" s="26" t="str">
        <f t="shared" si="108"/>
        <v>Hierro</v>
      </c>
      <c r="F587" s="401">
        <v>80</v>
      </c>
      <c r="G587" s="307" t="str">
        <f t="shared" si="109"/>
        <v>kg</v>
      </c>
      <c r="H587" s="351">
        <f t="shared" si="110"/>
        <v>15.588335288624991</v>
      </c>
      <c r="I587" s="354" t="str">
        <f t="shared" si="111"/>
        <v>kg</v>
      </c>
      <c r="J587" s="350">
        <f t="shared" si="112"/>
        <v>1247.0668230899994</v>
      </c>
      <c r="K587" s="360" t="s">
        <v>2299</v>
      </c>
      <c r="L587" s="20"/>
    </row>
    <row r="588" spans="1:13">
      <c r="A588" s="14" t="s">
        <v>2370</v>
      </c>
      <c r="D588" s="18">
        <v>6</v>
      </c>
      <c r="E588" s="26" t="str">
        <f t="shared" si="108"/>
        <v>Encofrado</v>
      </c>
      <c r="F588" s="400">
        <v>1</v>
      </c>
      <c r="G588" s="307" t="str">
        <f t="shared" si="109"/>
        <v>m²</v>
      </c>
      <c r="H588" s="351">
        <f t="shared" si="110"/>
        <v>380</v>
      </c>
      <c r="I588" s="354" t="str">
        <f t="shared" si="111"/>
        <v>m²</v>
      </c>
      <c r="J588" s="350">
        <f t="shared" si="112"/>
        <v>380</v>
      </c>
      <c r="K588" s="360" t="s">
        <v>2299</v>
      </c>
      <c r="L588" s="20"/>
    </row>
    <row r="589" spans="1:13">
      <c r="A589" s="14" t="s">
        <v>2371</v>
      </c>
      <c r="D589" s="18">
        <v>7</v>
      </c>
      <c r="E589" s="26" t="str">
        <f t="shared" si="108"/>
        <v>Clavos 2"</v>
      </c>
      <c r="F589" s="400">
        <v>0.6</v>
      </c>
      <c r="G589" s="307" t="str">
        <f t="shared" si="109"/>
        <v>kg</v>
      </c>
      <c r="H589" s="351">
        <f t="shared" si="110"/>
        <v>20.83</v>
      </c>
      <c r="I589" s="354" t="str">
        <f t="shared" si="111"/>
        <v>kg</v>
      </c>
      <c r="J589" s="350">
        <f t="shared" si="112"/>
        <v>12.497999999999999</v>
      </c>
      <c r="K589" s="360" t="s">
        <v>2299</v>
      </c>
      <c r="L589" s="20"/>
    </row>
    <row r="590" spans="1:13">
      <c r="A590" s="14" t="s">
        <v>2372</v>
      </c>
      <c r="D590" s="18">
        <v>8</v>
      </c>
      <c r="E590" s="26" t="str">
        <f t="shared" si="108"/>
        <v xml:space="preserve">Maderas Accesorios </v>
      </c>
      <c r="F590" s="400">
        <v>1</v>
      </c>
      <c r="G590" s="307" t="str">
        <f t="shared" si="109"/>
        <v>gl</v>
      </c>
      <c r="H590" s="351">
        <f t="shared" si="110"/>
        <v>5</v>
      </c>
      <c r="I590" s="354" t="str">
        <f t="shared" si="111"/>
        <v>gl</v>
      </c>
      <c r="J590" s="350">
        <f t="shared" si="112"/>
        <v>5</v>
      </c>
      <c r="K590" s="360" t="s">
        <v>2299</v>
      </c>
      <c r="L590" s="20"/>
    </row>
    <row r="591" spans="1:13">
      <c r="A591" s="14" t="s">
        <v>31</v>
      </c>
      <c r="D591" s="18">
        <v>9</v>
      </c>
      <c r="E591" s="26" t="str">
        <f t="shared" si="108"/>
        <v>-</v>
      </c>
      <c r="F591" s="311"/>
      <c r="G591" s="307" t="str">
        <f t="shared" si="109"/>
        <v>-</v>
      </c>
      <c r="H591" s="351">
        <f t="shared" si="110"/>
        <v>0</v>
      </c>
      <c r="I591" s="537" t="str">
        <f t="shared" si="111"/>
        <v>-</v>
      </c>
      <c r="J591" s="538">
        <f t="shared" si="112"/>
        <v>0</v>
      </c>
      <c r="K591" s="539" t="s">
        <v>2299</v>
      </c>
      <c r="L591" s="20"/>
    </row>
    <row r="592" spans="1:13">
      <c r="A592" s="14" t="s">
        <v>31</v>
      </c>
      <c r="D592" s="18">
        <v>10</v>
      </c>
      <c r="E592" s="26" t="str">
        <f t="shared" si="108"/>
        <v>-</v>
      </c>
      <c r="F592" s="311"/>
      <c r="G592" s="307" t="str">
        <f t="shared" si="109"/>
        <v>-</v>
      </c>
      <c r="H592" s="351">
        <f t="shared" si="110"/>
        <v>0</v>
      </c>
      <c r="I592" s="537" t="str">
        <f t="shared" si="111"/>
        <v>-</v>
      </c>
      <c r="J592" s="538">
        <f t="shared" si="112"/>
        <v>0</v>
      </c>
      <c r="K592" s="539" t="s">
        <v>2299</v>
      </c>
      <c r="L592" s="20"/>
    </row>
    <row r="593" spans="1:16">
      <c r="A593" s="14" t="s">
        <v>31</v>
      </c>
      <c r="D593" s="18">
        <v>11</v>
      </c>
      <c r="E593" s="26" t="str">
        <f t="shared" si="108"/>
        <v>-</v>
      </c>
      <c r="F593" s="311"/>
      <c r="G593" s="307" t="str">
        <f t="shared" si="109"/>
        <v>-</v>
      </c>
      <c r="H593" s="351">
        <f t="shared" si="110"/>
        <v>0</v>
      </c>
      <c r="I593" s="537" t="str">
        <f t="shared" si="111"/>
        <v>-</v>
      </c>
      <c r="J593" s="538">
        <f t="shared" si="112"/>
        <v>0</v>
      </c>
      <c r="K593" s="539" t="s">
        <v>2299</v>
      </c>
      <c r="L593" s="20"/>
    </row>
    <row r="594" spans="1:16">
      <c r="A594" s="14" t="s">
        <v>31</v>
      </c>
      <c r="D594" s="18">
        <v>12</v>
      </c>
      <c r="E594" s="26" t="str">
        <f t="shared" si="108"/>
        <v>-</v>
      </c>
      <c r="F594" s="311"/>
      <c r="G594" s="307" t="str">
        <f t="shared" si="109"/>
        <v>-</v>
      </c>
      <c r="H594" s="352">
        <f t="shared" si="110"/>
        <v>0</v>
      </c>
      <c r="I594" s="537" t="str">
        <f t="shared" si="111"/>
        <v>-</v>
      </c>
      <c r="J594" s="538">
        <f t="shared" si="112"/>
        <v>0</v>
      </c>
      <c r="K594" s="539" t="s">
        <v>2299</v>
      </c>
      <c r="L594" s="20"/>
    </row>
    <row r="595" spans="1:16">
      <c r="A595" s="14" t="s">
        <v>31</v>
      </c>
      <c r="D595" s="18">
        <v>13</v>
      </c>
      <c r="E595" s="26" t="str">
        <f t="shared" si="108"/>
        <v>-</v>
      </c>
      <c r="F595" s="311"/>
      <c r="G595" s="307" t="str">
        <f t="shared" si="109"/>
        <v>-</v>
      </c>
      <c r="H595" s="352">
        <f t="shared" si="110"/>
        <v>0</v>
      </c>
      <c r="I595" s="537" t="str">
        <f t="shared" si="111"/>
        <v>-</v>
      </c>
      <c r="J595" s="538">
        <f t="shared" si="112"/>
        <v>0</v>
      </c>
      <c r="K595" s="539" t="s">
        <v>2299</v>
      </c>
      <c r="L595" s="20"/>
    </row>
    <row r="596" spans="1:16">
      <c r="A596" s="14" t="s">
        <v>31</v>
      </c>
      <c r="D596" s="18">
        <v>14</v>
      </c>
      <c r="E596" s="26" t="str">
        <f t="shared" si="108"/>
        <v>-</v>
      </c>
      <c r="F596" s="311"/>
      <c r="G596" s="307" t="str">
        <f t="shared" si="109"/>
        <v>-</v>
      </c>
      <c r="H596" s="352">
        <f t="shared" si="110"/>
        <v>0</v>
      </c>
      <c r="I596" s="537" t="str">
        <f t="shared" si="111"/>
        <v>-</v>
      </c>
      <c r="J596" s="538">
        <f t="shared" si="112"/>
        <v>0</v>
      </c>
      <c r="K596" s="539" t="s">
        <v>2299</v>
      </c>
      <c r="L596" s="20"/>
    </row>
    <row r="597" spans="1:16">
      <c r="A597" s="14" t="s">
        <v>31</v>
      </c>
      <c r="D597" s="18">
        <v>15</v>
      </c>
      <c r="E597" s="26" t="str">
        <f t="shared" si="108"/>
        <v>-</v>
      </c>
      <c r="F597" s="311"/>
      <c r="G597" s="307" t="str">
        <f t="shared" si="109"/>
        <v>-</v>
      </c>
      <c r="H597" s="352">
        <f t="shared" si="110"/>
        <v>0</v>
      </c>
      <c r="I597" s="537" t="str">
        <f t="shared" si="111"/>
        <v>-</v>
      </c>
      <c r="J597" s="538">
        <f t="shared" si="112"/>
        <v>0</v>
      </c>
      <c r="K597" s="539" t="s">
        <v>2299</v>
      </c>
      <c r="L597" s="20"/>
    </row>
    <row r="598" spans="1:16">
      <c r="A598" s="14" t="s">
        <v>31</v>
      </c>
      <c r="D598" s="18">
        <v>16</v>
      </c>
      <c r="E598" s="26" t="str">
        <f t="shared" si="108"/>
        <v>-</v>
      </c>
      <c r="F598" s="311"/>
      <c r="G598" s="307" t="str">
        <f t="shared" si="109"/>
        <v>-</v>
      </c>
      <c r="H598" s="352">
        <f t="shared" si="110"/>
        <v>0</v>
      </c>
      <c r="I598" s="537" t="str">
        <f t="shared" si="111"/>
        <v>-</v>
      </c>
      <c r="J598" s="538">
        <f t="shared" si="112"/>
        <v>0</v>
      </c>
      <c r="K598" s="539" t="s">
        <v>2299</v>
      </c>
      <c r="L598" s="20"/>
    </row>
    <row r="599" spans="1:16">
      <c r="A599" s="14" t="s">
        <v>31</v>
      </c>
      <c r="D599" s="18">
        <v>17</v>
      </c>
      <c r="E599" s="26" t="str">
        <f t="shared" si="108"/>
        <v>-</v>
      </c>
      <c r="F599" s="311"/>
      <c r="G599" s="307" t="str">
        <f t="shared" si="109"/>
        <v>-</v>
      </c>
      <c r="H599" s="352">
        <f t="shared" si="110"/>
        <v>0</v>
      </c>
      <c r="I599" s="537" t="str">
        <f t="shared" si="111"/>
        <v>-</v>
      </c>
      <c r="J599" s="538">
        <f t="shared" si="112"/>
        <v>0</v>
      </c>
      <c r="K599" s="539" t="s">
        <v>2299</v>
      </c>
      <c r="L599" s="20"/>
    </row>
    <row r="600" spans="1:16">
      <c r="A600" s="14" t="s">
        <v>31</v>
      </c>
      <c r="D600" s="18">
        <v>18</v>
      </c>
      <c r="E600" s="26" t="str">
        <f t="shared" si="108"/>
        <v>-</v>
      </c>
      <c r="F600" s="311"/>
      <c r="G600" s="307" t="str">
        <f t="shared" si="109"/>
        <v>-</v>
      </c>
      <c r="H600" s="352">
        <f t="shared" si="110"/>
        <v>0</v>
      </c>
      <c r="I600" s="537" t="str">
        <f t="shared" si="111"/>
        <v>-</v>
      </c>
      <c r="J600" s="538">
        <f t="shared" si="112"/>
        <v>0</v>
      </c>
      <c r="K600" s="539" t="s">
        <v>2299</v>
      </c>
      <c r="L600" s="20"/>
    </row>
    <row r="601" spans="1:16">
      <c r="A601" s="14" t="s">
        <v>31</v>
      </c>
      <c r="D601" s="18">
        <v>19</v>
      </c>
      <c r="E601" s="26" t="str">
        <f t="shared" si="108"/>
        <v>-</v>
      </c>
      <c r="F601" s="311"/>
      <c r="G601" s="307" t="str">
        <f t="shared" si="109"/>
        <v>-</v>
      </c>
      <c r="H601" s="352">
        <f t="shared" si="110"/>
        <v>0</v>
      </c>
      <c r="I601" s="537" t="str">
        <f t="shared" si="111"/>
        <v>-</v>
      </c>
      <c r="J601" s="538">
        <f t="shared" si="112"/>
        <v>0</v>
      </c>
      <c r="K601" s="539" t="s">
        <v>2299</v>
      </c>
      <c r="L601" s="20"/>
    </row>
    <row r="602" spans="1:16">
      <c r="A602" s="14" t="s">
        <v>31</v>
      </c>
      <c r="D602" s="18">
        <v>20</v>
      </c>
      <c r="E602" s="26" t="str">
        <f t="shared" si="108"/>
        <v>-</v>
      </c>
      <c r="F602" s="311"/>
      <c r="G602" s="307" t="str">
        <f t="shared" si="109"/>
        <v>-</v>
      </c>
      <c r="H602" s="352">
        <f t="shared" si="110"/>
        <v>0</v>
      </c>
      <c r="I602" s="537" t="str">
        <f t="shared" si="111"/>
        <v>-</v>
      </c>
      <c r="J602" s="541">
        <f t="shared" si="112"/>
        <v>0</v>
      </c>
      <c r="K602" s="539" t="s">
        <v>2299</v>
      </c>
      <c r="L602" s="20"/>
    </row>
    <row r="603" spans="1:16">
      <c r="A603" s="14">
        <f>A570+1</f>
        <v>13</v>
      </c>
      <c r="B603" s="14" t="str">
        <f>"MA" &amp; TEXT(A603,"##000")</f>
        <v>MA013</v>
      </c>
      <c r="D603" s="18"/>
      <c r="E603" s="591" t="s">
        <v>2302</v>
      </c>
      <c r="F603" s="592"/>
      <c r="G603" s="592"/>
      <c r="H603" s="592"/>
      <c r="I603" s="327"/>
      <c r="J603" s="353">
        <f>SUM(J583:J602)</f>
        <v>2712.6168230899993</v>
      </c>
      <c r="K603" s="365" t="str">
        <f>+F580</f>
        <v>m3</v>
      </c>
      <c r="L603" s="20"/>
      <c r="O603" s="27" t="s">
        <v>1525</v>
      </c>
      <c r="P603" s="110">
        <v>200</v>
      </c>
    </row>
    <row r="604" spans="1:16">
      <c r="D604" s="18"/>
      <c r="E604" s="593" t="s">
        <v>100</v>
      </c>
      <c r="F604" s="594"/>
      <c r="G604" s="594"/>
      <c r="H604" s="594"/>
      <c r="I604" s="594"/>
      <c r="J604" s="595"/>
      <c r="K604" s="347"/>
      <c r="L604" s="20"/>
      <c r="O604" s="27" t="s">
        <v>1524</v>
      </c>
      <c r="P604" s="110">
        <f>10*F587</f>
        <v>800</v>
      </c>
    </row>
    <row r="605" spans="1:16">
      <c r="A605" s="14" t="s">
        <v>84</v>
      </c>
      <c r="D605" s="18">
        <v>1</v>
      </c>
      <c r="E605" s="26" t="str">
        <f>VLOOKUP($A605,MATMO,2,FALSE)</f>
        <v>Oficial</v>
      </c>
      <c r="F605" s="311">
        <v>20</v>
      </c>
      <c r="G605" s="307" t="str">
        <f>VLOOKUP($A605,MATMO,3,FALSE)</f>
        <v>hs</v>
      </c>
      <c r="H605" s="110">
        <f>VLOOKUP($A605,MATMO,4,FALSE)*$Q$7</f>
        <v>55.38</v>
      </c>
      <c r="I605" s="354" t="str">
        <f t="shared" ref="I605:I609" si="113">+G605</f>
        <v>hs</v>
      </c>
      <c r="J605" s="350">
        <f t="shared" ref="J605:J609" si="114">+H605*F605</f>
        <v>1107.6000000000001</v>
      </c>
      <c r="K605" s="360" t="s">
        <v>2299</v>
      </c>
      <c r="L605" s="20"/>
      <c r="M605" s="14" t="s">
        <v>2006</v>
      </c>
      <c r="O605" s="27" t="s">
        <v>1526</v>
      </c>
      <c r="P605" s="110">
        <v>300</v>
      </c>
    </row>
    <row r="606" spans="1:16">
      <c r="A606" s="14" t="s">
        <v>85</v>
      </c>
      <c r="D606" s="18">
        <v>2</v>
      </c>
      <c r="E606" s="26" t="str">
        <f>VLOOKUP($A606,MATMO,2,FALSE)</f>
        <v>Ayudante</v>
      </c>
      <c r="F606" s="311">
        <v>7.5</v>
      </c>
      <c r="G606" s="307" t="str">
        <f>VLOOKUP($A606,MATMO,3,FALSE)</f>
        <v>hs</v>
      </c>
      <c r="H606" s="110">
        <f>VLOOKUP($A606,MATMO,4,FALSE)*$Q$7</f>
        <v>46.87</v>
      </c>
      <c r="I606" s="354" t="str">
        <f t="shared" si="113"/>
        <v>hs</v>
      </c>
      <c r="J606" s="350">
        <f t="shared" si="114"/>
        <v>351.52499999999998</v>
      </c>
      <c r="K606" s="360" t="s">
        <v>2299</v>
      </c>
      <c r="L606" s="20"/>
      <c r="O606" s="27" t="s">
        <v>1527</v>
      </c>
      <c r="P606" s="110">
        <v>200</v>
      </c>
    </row>
    <row r="607" spans="1:16">
      <c r="A607" s="14" t="s">
        <v>2311</v>
      </c>
      <c r="D607" s="18">
        <v>3</v>
      </c>
      <c r="E607" s="26" t="str">
        <f>VLOOKUP($A607,MATMO,2,FALSE)</f>
        <v>Cargas Sociales Oficial</v>
      </c>
      <c r="F607" s="311">
        <f>+F605</f>
        <v>20</v>
      </c>
      <c r="G607" s="307" t="str">
        <f>VLOOKUP($A607,MATMO,3,FALSE)</f>
        <v>hs</v>
      </c>
      <c r="H607" s="110">
        <f>VLOOKUP($A607,MATMO,4,FALSE)*$Q$7</f>
        <v>52.742782499999997</v>
      </c>
      <c r="I607" s="354" t="str">
        <f t="shared" si="113"/>
        <v>hs</v>
      </c>
      <c r="J607" s="350">
        <f t="shared" si="114"/>
        <v>1054.85565</v>
      </c>
      <c r="K607" s="360" t="s">
        <v>2299</v>
      </c>
      <c r="L607" s="20"/>
      <c r="O607" s="27"/>
      <c r="P607" s="110">
        <v>0</v>
      </c>
    </row>
    <row r="608" spans="1:16">
      <c r="A608" s="14" t="s">
        <v>2312</v>
      </c>
      <c r="D608" s="18">
        <v>4</v>
      </c>
      <c r="E608" s="26" t="str">
        <f>VLOOKUP($A608,MATMO,2,FALSE)</f>
        <v>Cargas Sociales Ayudante</v>
      </c>
      <c r="F608" s="311">
        <f>+F606</f>
        <v>7.5</v>
      </c>
      <c r="G608" s="307" t="str">
        <f>VLOOKUP($A608,MATMO,3,FALSE)</f>
        <v>hs</v>
      </c>
      <c r="H608" s="110">
        <f>VLOOKUP($A608,MATMO,4,FALSE)*$Q$7</f>
        <v>45.108248750000001</v>
      </c>
      <c r="I608" s="354" t="str">
        <f t="shared" si="113"/>
        <v>hs</v>
      </c>
      <c r="J608" s="350">
        <f t="shared" si="114"/>
        <v>338.311865625</v>
      </c>
      <c r="K608" s="360" t="s">
        <v>2299</v>
      </c>
      <c r="L608" s="20"/>
      <c r="O608" s="27"/>
      <c r="P608" s="110">
        <v>0</v>
      </c>
    </row>
    <row r="609" spans="1:19" ht="16.5" thickBot="1">
      <c r="A609" s="14" t="s">
        <v>83</v>
      </c>
      <c r="D609" s="18">
        <v>5</v>
      </c>
      <c r="E609" s="26" t="str">
        <f>VLOOKUP($A609,MATMO,2,FALSE)</f>
        <v>-</v>
      </c>
      <c r="F609" s="311"/>
      <c r="G609" s="307" t="str">
        <f>VLOOKUP($A609,MATMO,3,FALSE)</f>
        <v>-</v>
      </c>
      <c r="H609" s="110">
        <f>VLOOKUP($A609,MATMO,4,FALSE)*$Q$7</f>
        <v>0</v>
      </c>
      <c r="I609" s="537" t="str">
        <f t="shared" si="113"/>
        <v>-</v>
      </c>
      <c r="J609" s="538">
        <f t="shared" si="114"/>
        <v>0</v>
      </c>
      <c r="K609" s="539" t="s">
        <v>2299</v>
      </c>
      <c r="L609" s="20"/>
      <c r="O609" s="27"/>
      <c r="P609" s="110">
        <v>0</v>
      </c>
      <c r="R609" s="29" t="s">
        <v>2307</v>
      </c>
    </row>
    <row r="610" spans="1:19" ht="16.5" thickBot="1">
      <c r="A610" s="14">
        <f>A570+1</f>
        <v>13</v>
      </c>
      <c r="B610" s="14" t="str">
        <f>"MO" &amp; TEXT(A610,"##000")</f>
        <v>MO013</v>
      </c>
      <c r="D610" s="18"/>
      <c r="E610" s="591" t="s">
        <v>2301</v>
      </c>
      <c r="F610" s="592"/>
      <c r="G610" s="592"/>
      <c r="H610" s="592"/>
      <c r="I610" s="327"/>
      <c r="J610" s="362">
        <f>SUM(J605:J609)</f>
        <v>2852.2925156249999</v>
      </c>
      <c r="K610" s="365" t="str">
        <f>+G605</f>
        <v>hs</v>
      </c>
      <c r="L610" s="20"/>
      <c r="N610" s="111">
        <f>+P610+R610</f>
        <v>2850</v>
      </c>
      <c r="O610" s="27"/>
      <c r="P610" s="27">
        <f>SUM(P603:P609)</f>
        <v>1500</v>
      </c>
      <c r="Q610" s="26">
        <v>0.9</v>
      </c>
      <c r="R610" s="287">
        <f>+Q610*P610</f>
        <v>1350</v>
      </c>
      <c r="S610" s="288"/>
    </row>
    <row r="611" spans="1:19">
      <c r="D611" s="18"/>
      <c r="E611" s="593" t="s">
        <v>101</v>
      </c>
      <c r="F611" s="594"/>
      <c r="G611" s="594"/>
      <c r="H611" s="594"/>
      <c r="I611" s="594"/>
      <c r="J611" s="595"/>
      <c r="K611" s="347"/>
      <c r="L611" s="20"/>
      <c r="P611" s="14" t="s">
        <v>2308</v>
      </c>
    </row>
    <row r="612" spans="1:19">
      <c r="A612" s="14" t="s">
        <v>119</v>
      </c>
      <c r="D612" s="18">
        <v>1</v>
      </c>
      <c r="E612" s="26" t="str">
        <f>VLOOKUP($A612,MATMO,2,FALSE)</f>
        <v>Herramientas de Mano</v>
      </c>
      <c r="F612" s="311">
        <v>1</v>
      </c>
      <c r="G612" s="307" t="str">
        <f>VLOOKUP($A612,MATMO,3,FALSE)</f>
        <v>gl</v>
      </c>
      <c r="H612" s="110">
        <f>+(J603+J610)*$Q$5</f>
        <v>222.59637354859996</v>
      </c>
      <c r="I612" s="345" t="str">
        <f>+G612</f>
        <v>gl</v>
      </c>
      <c r="J612" s="350">
        <f t="shared" ref="J612:J616" si="115">+H612*F612</f>
        <v>222.59637354859996</v>
      </c>
      <c r="K612" s="360" t="s">
        <v>2299</v>
      </c>
      <c r="L612" s="20"/>
      <c r="M612" s="14" t="s">
        <v>2004</v>
      </c>
    </row>
    <row r="613" spans="1:19">
      <c r="A613" s="14" t="s">
        <v>121</v>
      </c>
      <c r="D613" s="18">
        <v>2</v>
      </c>
      <c r="E613" s="26" t="str">
        <f>VLOOKUP($A613,MATMO,2,FALSE)</f>
        <v>Hormigonera</v>
      </c>
      <c r="F613" s="311">
        <v>1</v>
      </c>
      <c r="G613" s="307" t="str">
        <f>VLOOKUP($A613,MATMO,3,FALSE)</f>
        <v>hs</v>
      </c>
      <c r="H613" s="110">
        <f>VLOOKUP($A613,MATMO,4,FALSE)*$Q$6</f>
        <v>301.3085399449036</v>
      </c>
      <c r="I613" s="345" t="str">
        <f t="shared" ref="I613:I616" si="116">+G613</f>
        <v>hs</v>
      </c>
      <c r="J613" s="350">
        <f t="shared" si="115"/>
        <v>301.3085399449036</v>
      </c>
      <c r="K613" s="360" t="s">
        <v>2299</v>
      </c>
      <c r="L613" s="20"/>
    </row>
    <row r="614" spans="1:19">
      <c r="A614" s="14" t="s">
        <v>118</v>
      </c>
      <c r="D614" s="18">
        <v>3</v>
      </c>
      <c r="E614" s="26" t="str">
        <f>VLOOKUP($A614,MATMO,2,FALSE)</f>
        <v>-</v>
      </c>
      <c r="F614" s="311"/>
      <c r="G614" s="307" t="str">
        <f>VLOOKUP($A614,MATMO,3,FALSE)</f>
        <v>-</v>
      </c>
      <c r="H614" s="110">
        <f>VLOOKUP($A614,MATMO,4,FALSE)*$Q$6</f>
        <v>0</v>
      </c>
      <c r="I614" s="543" t="str">
        <f t="shared" si="116"/>
        <v>-</v>
      </c>
      <c r="J614" s="538">
        <f t="shared" si="115"/>
        <v>0</v>
      </c>
      <c r="K614" s="539" t="s">
        <v>2299</v>
      </c>
      <c r="L614" s="20"/>
    </row>
    <row r="615" spans="1:19">
      <c r="A615" s="14" t="s">
        <v>118</v>
      </c>
      <c r="D615" s="18">
        <v>4</v>
      </c>
      <c r="E615" s="26" t="str">
        <f>VLOOKUP($A615,MATMO,2,FALSE)</f>
        <v>-</v>
      </c>
      <c r="F615" s="311"/>
      <c r="G615" s="307" t="str">
        <f>VLOOKUP($A615,MATMO,3,FALSE)</f>
        <v>-</v>
      </c>
      <c r="H615" s="110">
        <f>VLOOKUP($A615,MATMO,4,FALSE)*$Q$6</f>
        <v>0</v>
      </c>
      <c r="I615" s="543" t="str">
        <f t="shared" si="116"/>
        <v>-</v>
      </c>
      <c r="J615" s="538">
        <f t="shared" si="115"/>
        <v>0</v>
      </c>
      <c r="K615" s="539" t="s">
        <v>2299</v>
      </c>
      <c r="L615" s="20"/>
    </row>
    <row r="616" spans="1:19">
      <c r="A616" s="14" t="s">
        <v>118</v>
      </c>
      <c r="D616" s="18">
        <v>5</v>
      </c>
      <c r="E616" s="26" t="str">
        <f>VLOOKUP($A616,MATMO,2,FALSE)</f>
        <v>-</v>
      </c>
      <c r="F616" s="311"/>
      <c r="G616" s="307" t="str">
        <f>VLOOKUP($A616,MATMO,3,FALSE)</f>
        <v>-</v>
      </c>
      <c r="H616" s="110">
        <f>VLOOKUP($A616,MATMO,4,FALSE)*$Q$6</f>
        <v>0</v>
      </c>
      <c r="I616" s="543" t="str">
        <f t="shared" si="116"/>
        <v>-</v>
      </c>
      <c r="J616" s="538">
        <f t="shared" si="115"/>
        <v>0</v>
      </c>
      <c r="K616" s="539" t="s">
        <v>2299</v>
      </c>
      <c r="L616" s="20"/>
    </row>
    <row r="617" spans="1:19">
      <c r="A617" s="14">
        <f>A570+1</f>
        <v>13</v>
      </c>
      <c r="B617" s="14" t="str">
        <f>"E" &amp; TEXT(A617,"##000")</f>
        <v>E013</v>
      </c>
      <c r="D617" s="18"/>
      <c r="E617" s="591" t="s">
        <v>2300</v>
      </c>
      <c r="F617" s="592"/>
      <c r="G617" s="592"/>
      <c r="H617" s="592"/>
      <c r="I617" s="327"/>
      <c r="J617" s="362">
        <f>SUM(J612:J616)</f>
        <v>523.9049134935035</v>
      </c>
      <c r="K617" s="365" t="s">
        <v>116</v>
      </c>
      <c r="L617" s="20"/>
    </row>
    <row r="618" spans="1:19">
      <c r="D618" s="18"/>
      <c r="E618" s="596"/>
      <c r="F618" s="597"/>
      <c r="G618" s="597"/>
      <c r="H618" s="597"/>
      <c r="I618" s="597"/>
      <c r="J618" s="598"/>
      <c r="K618" s="348"/>
      <c r="L618" s="20"/>
    </row>
    <row r="619" spans="1:19">
      <c r="D619" s="18"/>
      <c r="E619" s="591" t="s">
        <v>2306</v>
      </c>
      <c r="F619" s="592"/>
      <c r="G619" s="592"/>
      <c r="H619" s="592"/>
      <c r="I619" s="327"/>
      <c r="J619" s="308">
        <f>+J617+J610+J603</f>
        <v>6088.8142522085027</v>
      </c>
      <c r="K619" s="365" t="str">
        <f>+F580</f>
        <v>m3</v>
      </c>
      <c r="L619" s="20"/>
    </row>
    <row r="620" spans="1:19">
      <c r="D620" s="18"/>
      <c r="E620" s="591" t="s">
        <v>2305</v>
      </c>
      <c r="F620" s="592"/>
      <c r="G620" s="592"/>
      <c r="H620" s="592"/>
      <c r="I620" s="406">
        <f>+$Q$9</f>
        <v>1.6902999999999999</v>
      </c>
      <c r="J620" s="308">
        <f>+$Q$9*J619</f>
        <v>10291.922730508031</v>
      </c>
      <c r="K620" s="365" t="str">
        <f>+F580</f>
        <v>m3</v>
      </c>
      <c r="L620" s="20"/>
    </row>
    <row r="621" spans="1:19">
      <c r="A621" s="14">
        <f>A574+1</f>
        <v>13</v>
      </c>
      <c r="B621" s="14" t="str">
        <f>"TR" &amp; TEXT(A621,"##000")</f>
        <v>TR013</v>
      </c>
      <c r="C621" s="14">
        <f>+C574+1</f>
        <v>13</v>
      </c>
      <c r="D621" s="18"/>
      <c r="E621" s="591" t="s">
        <v>2304</v>
      </c>
      <c r="F621" s="592"/>
      <c r="G621" s="592"/>
      <c r="H621" s="592"/>
      <c r="I621" s="327"/>
      <c r="J621" s="308">
        <f>+J620</f>
        <v>10291.922730508031</v>
      </c>
      <c r="K621" s="365" t="str">
        <f>+F580</f>
        <v>m3</v>
      </c>
      <c r="L621" s="20"/>
    </row>
    <row r="622" spans="1:19" ht="16.5" thickBot="1">
      <c r="D622" s="21"/>
      <c r="E622" s="30"/>
      <c r="F622" s="30"/>
      <c r="G622" s="30"/>
      <c r="H622" s="30"/>
      <c r="I622" s="30"/>
      <c r="J622" s="30"/>
      <c r="K622" s="349"/>
      <c r="L622" s="22"/>
    </row>
    <row r="623" spans="1:19" ht="16.5" thickTop="1">
      <c r="D623" s="15"/>
      <c r="E623" s="16"/>
      <c r="F623" s="16"/>
      <c r="G623" s="16"/>
      <c r="H623" s="16"/>
      <c r="I623" s="16"/>
      <c r="J623" s="16"/>
      <c r="K623" s="16"/>
      <c r="L623" s="17"/>
    </row>
    <row r="624" spans="1:19">
      <c r="A624" s="14" t="s">
        <v>1823</v>
      </c>
      <c r="D624" s="18"/>
      <c r="E624" s="23" t="s">
        <v>95</v>
      </c>
      <c r="F624" s="24" t="str">
        <f>VLOOKUP($A624,DATRUB,3,FALSE)</f>
        <v>RUBRO III:</v>
      </c>
      <c r="G624" s="599" t="str">
        <f>VLOOKUP($A624,DATRUB,4,FALSE)</f>
        <v xml:space="preserve"> ESTRUCTURA RESISTENTE</v>
      </c>
      <c r="H624" s="599"/>
      <c r="I624" s="599"/>
      <c r="J624" s="599"/>
      <c r="K624" s="599"/>
      <c r="L624" s="20"/>
    </row>
    <row r="625" spans="1:13" ht="35.1" customHeight="1">
      <c r="A625" s="14" t="s">
        <v>1830</v>
      </c>
      <c r="D625" s="18"/>
      <c r="E625" s="23" t="s">
        <v>96</v>
      </c>
      <c r="F625" s="399">
        <f>VLOOKUP($A625,DATRUB,3,FALSE)</f>
        <v>3.7</v>
      </c>
      <c r="G625" s="599" t="str">
        <f>VLOOKUP($A625,DATRUB,4,FALSE)</f>
        <v>Vigas de Encadenado</v>
      </c>
      <c r="H625" s="599"/>
      <c r="I625" s="599"/>
      <c r="J625" s="599"/>
      <c r="K625" s="599"/>
      <c r="L625" s="20"/>
    </row>
    <row r="626" spans="1:13" ht="35.1" customHeight="1">
      <c r="A626" s="14" t="s">
        <v>1830</v>
      </c>
      <c r="D626" s="18"/>
      <c r="E626" s="23" t="s">
        <v>97</v>
      </c>
      <c r="F626" s="399">
        <f>VLOOKUP($A626,DATRUB,3,FALSE)</f>
        <v>3.7</v>
      </c>
      <c r="G626" s="599" t="str">
        <f>VLOOKUP($A626,DATRUB,4,FALSE)</f>
        <v>Vigas de Encadenado</v>
      </c>
      <c r="H626" s="599"/>
      <c r="I626" s="599"/>
      <c r="J626" s="599"/>
      <c r="K626" s="599"/>
      <c r="L626" s="20"/>
    </row>
    <row r="627" spans="1:13">
      <c r="D627" s="18"/>
      <c r="E627" s="23" t="s">
        <v>98</v>
      </c>
      <c r="F627" s="24" t="str">
        <f>VLOOKUP($A626,DATRUB,5,FALSE)</f>
        <v>m3</v>
      </c>
      <c r="G627" s="600"/>
      <c r="H627" s="600"/>
      <c r="I627" s="600"/>
      <c r="J627" s="600"/>
      <c r="K627" s="600"/>
      <c r="L627" s="20"/>
    </row>
    <row r="628" spans="1:13">
      <c r="D628" s="18"/>
      <c r="E628" s="24" t="s">
        <v>1158</v>
      </c>
      <c r="F628" s="25" t="s">
        <v>1250</v>
      </c>
      <c r="G628" s="24" t="s">
        <v>24</v>
      </c>
      <c r="H628" s="24" t="s">
        <v>25</v>
      </c>
      <c r="I628" s="24" t="s">
        <v>24</v>
      </c>
      <c r="J628" s="24" t="s">
        <v>2298</v>
      </c>
      <c r="K628" s="24" t="s">
        <v>24</v>
      </c>
      <c r="L628" s="20"/>
    </row>
    <row r="629" spans="1:13">
      <c r="D629" s="18"/>
      <c r="E629" s="593" t="s">
        <v>99</v>
      </c>
      <c r="F629" s="594"/>
      <c r="G629" s="594"/>
      <c r="H629" s="594"/>
      <c r="I629" s="594"/>
      <c r="J629" s="594"/>
      <c r="K629" s="595"/>
      <c r="L629" s="20"/>
    </row>
    <row r="630" spans="1:13">
      <c r="A630" s="14" t="s">
        <v>2365</v>
      </c>
      <c r="D630" s="18">
        <v>1</v>
      </c>
      <c r="E630" s="355" t="str">
        <f t="shared" ref="E630:E649" si="117">VLOOKUP($A630,MATMO,2,FALSE)</f>
        <v>Cemento Puzolanico</v>
      </c>
      <c r="F630" s="400">
        <v>380</v>
      </c>
      <c r="G630" s="357" t="str">
        <f t="shared" ref="G630:G649" si="118">VLOOKUP($A630,MATMO,3,FALSE)</f>
        <v>kg</v>
      </c>
      <c r="H630" s="358">
        <f t="shared" ref="H630:H649" si="119">VLOOKUP($A630,MATMO,4,FALSE)*$Q$6</f>
        <v>2.0474999999999999</v>
      </c>
      <c r="I630" s="359" t="str">
        <f t="shared" ref="I630:I649" si="120">+G630</f>
        <v>kg</v>
      </c>
      <c r="J630" s="361">
        <f>+H630*F630</f>
        <v>778.05</v>
      </c>
      <c r="K630" s="360" t="s">
        <v>2299</v>
      </c>
      <c r="L630" s="20"/>
      <c r="M630" s="14" t="s">
        <v>2005</v>
      </c>
    </row>
    <row r="631" spans="1:13">
      <c r="A631" s="14" t="s">
        <v>2366</v>
      </c>
      <c r="D631" s="18">
        <v>2</v>
      </c>
      <c r="E631" s="26" t="str">
        <f t="shared" si="117"/>
        <v>Arena</v>
      </c>
      <c r="F631" s="400">
        <v>0.7</v>
      </c>
      <c r="G631" s="307" t="str">
        <f t="shared" si="118"/>
        <v>m³</v>
      </c>
      <c r="H631" s="351">
        <f t="shared" si="119"/>
        <v>170</v>
      </c>
      <c r="I631" s="354" t="str">
        <f t="shared" si="120"/>
        <v>m³</v>
      </c>
      <c r="J631" s="350">
        <f t="shared" ref="J631:J649" si="121">+H631*F631</f>
        <v>118.99999999999999</v>
      </c>
      <c r="K631" s="360" t="s">
        <v>2299</v>
      </c>
      <c r="L631" s="20"/>
    </row>
    <row r="632" spans="1:13">
      <c r="A632" s="14" t="s">
        <v>2367</v>
      </c>
      <c r="D632" s="18">
        <v>3</v>
      </c>
      <c r="E632" s="26" t="str">
        <f t="shared" si="117"/>
        <v>Ripio</v>
      </c>
      <c r="F632" s="400">
        <v>0.7</v>
      </c>
      <c r="G632" s="307" t="str">
        <f t="shared" si="118"/>
        <v>m³</v>
      </c>
      <c r="H632" s="351">
        <f t="shared" si="119"/>
        <v>140</v>
      </c>
      <c r="I632" s="354" t="str">
        <f t="shared" si="120"/>
        <v>m³</v>
      </c>
      <c r="J632" s="350">
        <f t="shared" si="121"/>
        <v>98</v>
      </c>
      <c r="K632" s="360" t="s">
        <v>2299</v>
      </c>
      <c r="L632" s="20"/>
    </row>
    <row r="633" spans="1:13">
      <c r="A633" s="14" t="s">
        <v>2368</v>
      </c>
      <c r="D633" s="18">
        <v>4</v>
      </c>
      <c r="E633" s="26" t="str">
        <f t="shared" si="117"/>
        <v>Alambre N° 14</v>
      </c>
      <c r="F633" s="400">
        <v>3</v>
      </c>
      <c r="G633" s="307" t="str">
        <f t="shared" si="118"/>
        <v>kg</v>
      </c>
      <c r="H633" s="351">
        <f t="shared" si="119"/>
        <v>24.334</v>
      </c>
      <c r="I633" s="354" t="str">
        <f t="shared" si="120"/>
        <v>kg</v>
      </c>
      <c r="J633" s="350">
        <f t="shared" si="121"/>
        <v>73.001999999999995</v>
      </c>
      <c r="K633" s="360" t="s">
        <v>2299</v>
      </c>
      <c r="L633" s="20"/>
    </row>
    <row r="634" spans="1:13">
      <c r="A634" s="14" t="s">
        <v>2369</v>
      </c>
      <c r="D634" s="18">
        <v>5</v>
      </c>
      <c r="E634" s="26" t="str">
        <f t="shared" si="117"/>
        <v>Hierro</v>
      </c>
      <c r="F634" s="401">
        <v>80</v>
      </c>
      <c r="G634" s="307" t="str">
        <f t="shared" si="118"/>
        <v>kg</v>
      </c>
      <c r="H634" s="351">
        <f t="shared" si="119"/>
        <v>15.588335288624991</v>
      </c>
      <c r="I634" s="354" t="str">
        <f t="shared" si="120"/>
        <v>kg</v>
      </c>
      <c r="J634" s="350">
        <f t="shared" si="121"/>
        <v>1247.0668230899994</v>
      </c>
      <c r="K634" s="360" t="s">
        <v>2299</v>
      </c>
      <c r="L634" s="20"/>
    </row>
    <row r="635" spans="1:13">
      <c r="A635" s="14" t="s">
        <v>2370</v>
      </c>
      <c r="D635" s="18">
        <v>6</v>
      </c>
      <c r="E635" s="26" t="str">
        <f t="shared" si="117"/>
        <v>Encofrado</v>
      </c>
      <c r="F635" s="400">
        <v>1</v>
      </c>
      <c r="G635" s="307" t="str">
        <f t="shared" si="118"/>
        <v>m²</v>
      </c>
      <c r="H635" s="351">
        <f t="shared" si="119"/>
        <v>380</v>
      </c>
      <c r="I635" s="354" t="str">
        <f t="shared" si="120"/>
        <v>m²</v>
      </c>
      <c r="J635" s="350">
        <f t="shared" si="121"/>
        <v>380</v>
      </c>
      <c r="K635" s="360" t="s">
        <v>2299</v>
      </c>
      <c r="L635" s="20"/>
    </row>
    <row r="636" spans="1:13">
      <c r="A636" s="14" t="s">
        <v>2371</v>
      </c>
      <c r="D636" s="18">
        <v>7</v>
      </c>
      <c r="E636" s="26" t="str">
        <f t="shared" si="117"/>
        <v>Clavos 2"</v>
      </c>
      <c r="F636" s="400">
        <v>0.6</v>
      </c>
      <c r="G636" s="307" t="str">
        <f t="shared" si="118"/>
        <v>kg</v>
      </c>
      <c r="H636" s="351">
        <f t="shared" si="119"/>
        <v>20.83</v>
      </c>
      <c r="I636" s="354" t="str">
        <f t="shared" si="120"/>
        <v>kg</v>
      </c>
      <c r="J636" s="350">
        <f t="shared" si="121"/>
        <v>12.497999999999999</v>
      </c>
      <c r="K636" s="360" t="s">
        <v>2299</v>
      </c>
      <c r="L636" s="20"/>
    </row>
    <row r="637" spans="1:13">
      <c r="A637" s="14" t="s">
        <v>31</v>
      </c>
      <c r="D637" s="18">
        <v>8</v>
      </c>
      <c r="E637" s="26" t="str">
        <f t="shared" si="117"/>
        <v>-</v>
      </c>
      <c r="F637" s="311"/>
      <c r="G637" s="307" t="str">
        <f t="shared" si="118"/>
        <v>-</v>
      </c>
      <c r="H637" s="351">
        <f t="shared" si="119"/>
        <v>0</v>
      </c>
      <c r="I637" s="537" t="str">
        <f t="shared" si="120"/>
        <v>-</v>
      </c>
      <c r="J637" s="538">
        <f t="shared" si="121"/>
        <v>0</v>
      </c>
      <c r="K637" s="539" t="s">
        <v>2299</v>
      </c>
      <c r="L637" s="20"/>
    </row>
    <row r="638" spans="1:13">
      <c r="A638" s="14" t="s">
        <v>31</v>
      </c>
      <c r="D638" s="18">
        <v>9</v>
      </c>
      <c r="E638" s="26" t="str">
        <f t="shared" si="117"/>
        <v>-</v>
      </c>
      <c r="F638" s="311"/>
      <c r="G638" s="307" t="str">
        <f t="shared" si="118"/>
        <v>-</v>
      </c>
      <c r="H638" s="351">
        <f t="shared" si="119"/>
        <v>0</v>
      </c>
      <c r="I638" s="537" t="str">
        <f t="shared" si="120"/>
        <v>-</v>
      </c>
      <c r="J638" s="538">
        <f t="shared" si="121"/>
        <v>0</v>
      </c>
      <c r="K638" s="539" t="s">
        <v>2299</v>
      </c>
      <c r="L638" s="20"/>
    </row>
    <row r="639" spans="1:13">
      <c r="A639" s="14" t="s">
        <v>31</v>
      </c>
      <c r="D639" s="18">
        <v>10</v>
      </c>
      <c r="E639" s="26" t="str">
        <f t="shared" si="117"/>
        <v>-</v>
      </c>
      <c r="F639" s="311"/>
      <c r="G639" s="307" t="str">
        <f t="shared" si="118"/>
        <v>-</v>
      </c>
      <c r="H639" s="351">
        <f t="shared" si="119"/>
        <v>0</v>
      </c>
      <c r="I639" s="537" t="str">
        <f t="shared" si="120"/>
        <v>-</v>
      </c>
      <c r="J639" s="538">
        <f t="shared" si="121"/>
        <v>0</v>
      </c>
      <c r="K639" s="539" t="s">
        <v>2299</v>
      </c>
      <c r="L639" s="20"/>
    </row>
    <row r="640" spans="1:13">
      <c r="A640" s="14" t="s">
        <v>31</v>
      </c>
      <c r="D640" s="18">
        <v>11</v>
      </c>
      <c r="E640" s="26" t="str">
        <f t="shared" si="117"/>
        <v>-</v>
      </c>
      <c r="F640" s="311"/>
      <c r="G640" s="307" t="str">
        <f t="shared" si="118"/>
        <v>-</v>
      </c>
      <c r="H640" s="351">
        <f t="shared" si="119"/>
        <v>0</v>
      </c>
      <c r="I640" s="537" t="str">
        <f t="shared" si="120"/>
        <v>-</v>
      </c>
      <c r="J640" s="538">
        <f t="shared" si="121"/>
        <v>0</v>
      </c>
      <c r="K640" s="539" t="s">
        <v>2299</v>
      </c>
      <c r="L640" s="20"/>
    </row>
    <row r="641" spans="1:18">
      <c r="A641" s="14" t="s">
        <v>31</v>
      </c>
      <c r="D641" s="18">
        <v>12</v>
      </c>
      <c r="E641" s="26" t="str">
        <f t="shared" si="117"/>
        <v>-</v>
      </c>
      <c r="F641" s="311"/>
      <c r="G641" s="307" t="str">
        <f t="shared" si="118"/>
        <v>-</v>
      </c>
      <c r="H641" s="352">
        <f t="shared" si="119"/>
        <v>0</v>
      </c>
      <c r="I641" s="537" t="str">
        <f t="shared" si="120"/>
        <v>-</v>
      </c>
      <c r="J641" s="538">
        <f t="shared" si="121"/>
        <v>0</v>
      </c>
      <c r="K641" s="539" t="s">
        <v>2299</v>
      </c>
      <c r="L641" s="20"/>
    </row>
    <row r="642" spans="1:18">
      <c r="A642" s="14" t="s">
        <v>31</v>
      </c>
      <c r="D642" s="18">
        <v>13</v>
      </c>
      <c r="E642" s="26" t="str">
        <f t="shared" si="117"/>
        <v>-</v>
      </c>
      <c r="F642" s="311"/>
      <c r="G642" s="307" t="str">
        <f t="shared" si="118"/>
        <v>-</v>
      </c>
      <c r="H642" s="352">
        <f t="shared" si="119"/>
        <v>0</v>
      </c>
      <c r="I642" s="537" t="str">
        <f t="shared" si="120"/>
        <v>-</v>
      </c>
      <c r="J642" s="538">
        <f t="shared" si="121"/>
        <v>0</v>
      </c>
      <c r="K642" s="539" t="s">
        <v>2299</v>
      </c>
      <c r="L642" s="20"/>
    </row>
    <row r="643" spans="1:18">
      <c r="A643" s="14" t="s">
        <v>31</v>
      </c>
      <c r="D643" s="18">
        <v>14</v>
      </c>
      <c r="E643" s="26" t="str">
        <f t="shared" si="117"/>
        <v>-</v>
      </c>
      <c r="F643" s="311"/>
      <c r="G643" s="307" t="str">
        <f t="shared" si="118"/>
        <v>-</v>
      </c>
      <c r="H643" s="352">
        <f t="shared" si="119"/>
        <v>0</v>
      </c>
      <c r="I643" s="537" t="str">
        <f t="shared" si="120"/>
        <v>-</v>
      </c>
      <c r="J643" s="538">
        <f t="shared" si="121"/>
        <v>0</v>
      </c>
      <c r="K643" s="539" t="s">
        <v>2299</v>
      </c>
      <c r="L643" s="20"/>
    </row>
    <row r="644" spans="1:18">
      <c r="A644" s="14" t="s">
        <v>31</v>
      </c>
      <c r="D644" s="18">
        <v>15</v>
      </c>
      <c r="E644" s="26" t="str">
        <f t="shared" si="117"/>
        <v>-</v>
      </c>
      <c r="F644" s="311"/>
      <c r="G644" s="307" t="str">
        <f t="shared" si="118"/>
        <v>-</v>
      </c>
      <c r="H644" s="352">
        <f t="shared" si="119"/>
        <v>0</v>
      </c>
      <c r="I644" s="537" t="str">
        <f t="shared" si="120"/>
        <v>-</v>
      </c>
      <c r="J644" s="538">
        <f t="shared" si="121"/>
        <v>0</v>
      </c>
      <c r="K644" s="539" t="s">
        <v>2299</v>
      </c>
      <c r="L644" s="20"/>
    </row>
    <row r="645" spans="1:18">
      <c r="A645" s="14" t="s">
        <v>31</v>
      </c>
      <c r="D645" s="18">
        <v>16</v>
      </c>
      <c r="E645" s="26" t="str">
        <f t="shared" si="117"/>
        <v>-</v>
      </c>
      <c r="F645" s="311"/>
      <c r="G645" s="307" t="str">
        <f t="shared" si="118"/>
        <v>-</v>
      </c>
      <c r="H645" s="352">
        <f t="shared" si="119"/>
        <v>0</v>
      </c>
      <c r="I645" s="537" t="str">
        <f t="shared" si="120"/>
        <v>-</v>
      </c>
      <c r="J645" s="538">
        <f t="shared" si="121"/>
        <v>0</v>
      </c>
      <c r="K645" s="539" t="s">
        <v>2299</v>
      </c>
      <c r="L645" s="20"/>
    </row>
    <row r="646" spans="1:18">
      <c r="A646" s="14" t="s">
        <v>31</v>
      </c>
      <c r="D646" s="18">
        <v>17</v>
      </c>
      <c r="E646" s="26" t="str">
        <f t="shared" si="117"/>
        <v>-</v>
      </c>
      <c r="F646" s="311"/>
      <c r="G646" s="307" t="str">
        <f t="shared" si="118"/>
        <v>-</v>
      </c>
      <c r="H646" s="352">
        <f t="shared" si="119"/>
        <v>0</v>
      </c>
      <c r="I646" s="537" t="str">
        <f t="shared" si="120"/>
        <v>-</v>
      </c>
      <c r="J646" s="538">
        <f t="shared" si="121"/>
        <v>0</v>
      </c>
      <c r="K646" s="539" t="s">
        <v>2299</v>
      </c>
      <c r="L646" s="20"/>
    </row>
    <row r="647" spans="1:18">
      <c r="A647" s="14" t="s">
        <v>31</v>
      </c>
      <c r="D647" s="18">
        <v>18</v>
      </c>
      <c r="E647" s="26" t="str">
        <f t="shared" si="117"/>
        <v>-</v>
      </c>
      <c r="F647" s="311"/>
      <c r="G647" s="307" t="str">
        <f t="shared" si="118"/>
        <v>-</v>
      </c>
      <c r="H647" s="352">
        <f t="shared" si="119"/>
        <v>0</v>
      </c>
      <c r="I647" s="537" t="str">
        <f t="shared" si="120"/>
        <v>-</v>
      </c>
      <c r="J647" s="538">
        <f t="shared" si="121"/>
        <v>0</v>
      </c>
      <c r="K647" s="539" t="s">
        <v>2299</v>
      </c>
      <c r="L647" s="20"/>
    </row>
    <row r="648" spans="1:18">
      <c r="A648" s="14" t="s">
        <v>31</v>
      </c>
      <c r="D648" s="18">
        <v>19</v>
      </c>
      <c r="E648" s="26" t="str">
        <f t="shared" si="117"/>
        <v>-</v>
      </c>
      <c r="F648" s="311"/>
      <c r="G648" s="307" t="str">
        <f t="shared" si="118"/>
        <v>-</v>
      </c>
      <c r="H648" s="352">
        <f t="shared" si="119"/>
        <v>0</v>
      </c>
      <c r="I648" s="537" t="str">
        <f t="shared" si="120"/>
        <v>-</v>
      </c>
      <c r="J648" s="538">
        <f t="shared" si="121"/>
        <v>0</v>
      </c>
      <c r="K648" s="539" t="s">
        <v>2299</v>
      </c>
      <c r="L648" s="20"/>
    </row>
    <row r="649" spans="1:18">
      <c r="A649" s="14" t="s">
        <v>31</v>
      </c>
      <c r="D649" s="18">
        <v>20</v>
      </c>
      <c r="E649" s="26" t="str">
        <f t="shared" si="117"/>
        <v>-</v>
      </c>
      <c r="F649" s="311"/>
      <c r="G649" s="307" t="str">
        <f t="shared" si="118"/>
        <v>-</v>
      </c>
      <c r="H649" s="352">
        <f t="shared" si="119"/>
        <v>0</v>
      </c>
      <c r="I649" s="537" t="str">
        <f t="shared" si="120"/>
        <v>-</v>
      </c>
      <c r="J649" s="541">
        <f t="shared" si="121"/>
        <v>0</v>
      </c>
      <c r="K649" s="539" t="s">
        <v>2299</v>
      </c>
      <c r="L649" s="20"/>
    </row>
    <row r="650" spans="1:18">
      <c r="A650" s="14">
        <f>A617+1</f>
        <v>14</v>
      </c>
      <c r="B650" s="14" t="str">
        <f>"MA" &amp; TEXT(A650,"##000")</f>
        <v>MA014</v>
      </c>
      <c r="D650" s="18"/>
      <c r="E650" s="591" t="s">
        <v>2302</v>
      </c>
      <c r="F650" s="592"/>
      <c r="G650" s="592"/>
      <c r="H650" s="592"/>
      <c r="I650" s="327"/>
      <c r="J650" s="353">
        <f>SUM(J630:J649)</f>
        <v>2707.6168230899993</v>
      </c>
      <c r="K650" s="365" t="str">
        <f>+F627</f>
        <v>m3</v>
      </c>
      <c r="L650" s="20"/>
      <c r="O650" s="27" t="s">
        <v>1525</v>
      </c>
      <c r="P650" s="110">
        <v>200</v>
      </c>
    </row>
    <row r="651" spans="1:18">
      <c r="D651" s="18"/>
      <c r="E651" s="593" t="s">
        <v>100</v>
      </c>
      <c r="F651" s="594"/>
      <c r="G651" s="594"/>
      <c r="H651" s="594"/>
      <c r="I651" s="594"/>
      <c r="J651" s="595"/>
      <c r="K651" s="347"/>
      <c r="L651" s="20"/>
      <c r="O651" s="27" t="s">
        <v>1524</v>
      </c>
      <c r="P651" s="110">
        <f>10*F634</f>
        <v>800</v>
      </c>
    </row>
    <row r="652" spans="1:18">
      <c r="A652" s="14" t="s">
        <v>84</v>
      </c>
      <c r="D652" s="18">
        <v>1</v>
      </c>
      <c r="E652" s="26" t="str">
        <f>VLOOKUP($A652,MATMO,2,FALSE)</f>
        <v>Oficial</v>
      </c>
      <c r="F652" s="311">
        <v>20</v>
      </c>
      <c r="G652" s="307" t="str">
        <f>VLOOKUP($A652,MATMO,3,FALSE)</f>
        <v>hs</v>
      </c>
      <c r="H652" s="110">
        <f>VLOOKUP($A652,MATMO,4,FALSE)*$Q$7</f>
        <v>55.38</v>
      </c>
      <c r="I652" s="354" t="str">
        <f t="shared" ref="I652:I656" si="122">+G652</f>
        <v>hs</v>
      </c>
      <c r="J652" s="350">
        <f t="shared" ref="J652:J656" si="123">+H652*F652</f>
        <v>1107.6000000000001</v>
      </c>
      <c r="K652" s="360" t="s">
        <v>2299</v>
      </c>
      <c r="L652" s="20"/>
      <c r="M652" s="14" t="s">
        <v>2006</v>
      </c>
      <c r="O652" s="27" t="s">
        <v>1526</v>
      </c>
      <c r="P652" s="110">
        <v>300</v>
      </c>
    </row>
    <row r="653" spans="1:18">
      <c r="A653" s="14" t="s">
        <v>85</v>
      </c>
      <c r="D653" s="18">
        <v>2</v>
      </c>
      <c r="E653" s="26" t="str">
        <f>VLOOKUP($A653,MATMO,2,FALSE)</f>
        <v>Ayudante</v>
      </c>
      <c r="F653" s="311">
        <v>7.5</v>
      </c>
      <c r="G653" s="307" t="str">
        <f>VLOOKUP($A653,MATMO,3,FALSE)</f>
        <v>hs</v>
      </c>
      <c r="H653" s="110">
        <f>VLOOKUP($A653,MATMO,4,FALSE)*$Q$7</f>
        <v>46.87</v>
      </c>
      <c r="I653" s="354" t="str">
        <f t="shared" si="122"/>
        <v>hs</v>
      </c>
      <c r="J653" s="350">
        <f t="shared" si="123"/>
        <v>351.52499999999998</v>
      </c>
      <c r="K653" s="360" t="s">
        <v>2299</v>
      </c>
      <c r="L653" s="20"/>
      <c r="O653" s="27" t="s">
        <v>1527</v>
      </c>
      <c r="P653" s="110">
        <v>200</v>
      </c>
    </row>
    <row r="654" spans="1:18">
      <c r="A654" s="14" t="s">
        <v>2311</v>
      </c>
      <c r="D654" s="18">
        <v>3</v>
      </c>
      <c r="E654" s="26" t="str">
        <f>VLOOKUP($A654,MATMO,2,FALSE)</f>
        <v>Cargas Sociales Oficial</v>
      </c>
      <c r="F654" s="311">
        <f>+F652</f>
        <v>20</v>
      </c>
      <c r="G654" s="307" t="str">
        <f>VLOOKUP($A654,MATMO,3,FALSE)</f>
        <v>hs</v>
      </c>
      <c r="H654" s="110">
        <f>VLOOKUP($A654,MATMO,4,FALSE)*$Q$7</f>
        <v>52.742782499999997</v>
      </c>
      <c r="I654" s="354" t="str">
        <f t="shared" si="122"/>
        <v>hs</v>
      </c>
      <c r="J654" s="350">
        <f t="shared" si="123"/>
        <v>1054.85565</v>
      </c>
      <c r="K654" s="360" t="s">
        <v>2299</v>
      </c>
      <c r="L654" s="20"/>
      <c r="O654" s="27"/>
      <c r="P654" s="110">
        <v>0</v>
      </c>
    </row>
    <row r="655" spans="1:18">
      <c r="A655" s="14" t="s">
        <v>2312</v>
      </c>
      <c r="D655" s="18">
        <v>4</v>
      </c>
      <c r="E655" s="26" t="str">
        <f>VLOOKUP($A655,MATMO,2,FALSE)</f>
        <v>Cargas Sociales Ayudante</v>
      </c>
      <c r="F655" s="311">
        <f>+F653</f>
        <v>7.5</v>
      </c>
      <c r="G655" s="307" t="str">
        <f>VLOOKUP($A655,MATMO,3,FALSE)</f>
        <v>hs</v>
      </c>
      <c r="H655" s="110">
        <f>VLOOKUP($A655,MATMO,4,FALSE)*$Q$7</f>
        <v>45.108248750000001</v>
      </c>
      <c r="I655" s="354" t="str">
        <f t="shared" si="122"/>
        <v>hs</v>
      </c>
      <c r="J655" s="350">
        <f t="shared" si="123"/>
        <v>338.311865625</v>
      </c>
      <c r="K655" s="360" t="s">
        <v>2299</v>
      </c>
      <c r="L655" s="20"/>
      <c r="O655" s="27"/>
      <c r="P655" s="110">
        <v>0</v>
      </c>
    </row>
    <row r="656" spans="1:18" ht="16.5" thickBot="1">
      <c r="A656" s="14" t="s">
        <v>83</v>
      </c>
      <c r="D656" s="18">
        <v>5</v>
      </c>
      <c r="E656" s="26" t="str">
        <f>VLOOKUP($A656,MATMO,2,FALSE)</f>
        <v>-</v>
      </c>
      <c r="F656" s="311"/>
      <c r="G656" s="307" t="str">
        <f>VLOOKUP($A656,MATMO,3,FALSE)</f>
        <v>-</v>
      </c>
      <c r="H656" s="110">
        <f>VLOOKUP($A656,MATMO,4,FALSE)*$Q$7</f>
        <v>0</v>
      </c>
      <c r="I656" s="537" t="str">
        <f t="shared" si="122"/>
        <v>-</v>
      </c>
      <c r="J656" s="538">
        <f t="shared" si="123"/>
        <v>0</v>
      </c>
      <c r="K656" s="539" t="s">
        <v>2299</v>
      </c>
      <c r="L656" s="20"/>
      <c r="O656" s="27"/>
      <c r="P656" s="110">
        <v>0</v>
      </c>
      <c r="R656" s="29" t="s">
        <v>2307</v>
      </c>
    </row>
    <row r="657" spans="1:19" ht="16.5" thickBot="1">
      <c r="A657" s="14">
        <f>A617+1</f>
        <v>14</v>
      </c>
      <c r="B657" s="14" t="str">
        <f>"MO" &amp; TEXT(A657,"##000")</f>
        <v>MO014</v>
      </c>
      <c r="D657" s="18"/>
      <c r="E657" s="591" t="s">
        <v>2301</v>
      </c>
      <c r="F657" s="592"/>
      <c r="G657" s="592"/>
      <c r="H657" s="592"/>
      <c r="I657" s="327"/>
      <c r="J657" s="362">
        <f>SUM(J652:J656)</f>
        <v>2852.2925156249999</v>
      </c>
      <c r="K657" s="365" t="str">
        <f>+G652</f>
        <v>hs</v>
      </c>
      <c r="L657" s="20"/>
      <c r="N657" s="111">
        <f>+P657+R657</f>
        <v>2850</v>
      </c>
      <c r="O657" s="27"/>
      <c r="P657" s="27">
        <f>SUM(P650:P656)</f>
        <v>1500</v>
      </c>
      <c r="Q657" s="26">
        <v>0.9</v>
      </c>
      <c r="R657" s="287">
        <f>+Q657*P657</f>
        <v>1350</v>
      </c>
      <c r="S657" s="288"/>
    </row>
    <row r="658" spans="1:19">
      <c r="D658" s="18"/>
      <c r="E658" s="593" t="s">
        <v>101</v>
      </c>
      <c r="F658" s="594"/>
      <c r="G658" s="594"/>
      <c r="H658" s="594"/>
      <c r="I658" s="594"/>
      <c r="J658" s="595"/>
      <c r="K658" s="347"/>
      <c r="L658" s="20"/>
      <c r="P658" s="14" t="s">
        <v>2308</v>
      </c>
    </row>
    <row r="659" spans="1:19">
      <c r="A659" s="14" t="s">
        <v>119</v>
      </c>
      <c r="D659" s="18">
        <v>1</v>
      </c>
      <c r="E659" s="26" t="str">
        <f>VLOOKUP($A659,MATMO,2,FALSE)</f>
        <v>Herramientas de Mano</v>
      </c>
      <c r="F659" s="311">
        <v>1</v>
      </c>
      <c r="G659" s="307" t="str">
        <f>VLOOKUP($A659,MATMO,3,FALSE)</f>
        <v>gl</v>
      </c>
      <c r="H659" s="110">
        <f>+(J650+J657)*$Q$5</f>
        <v>222.39637354859997</v>
      </c>
      <c r="I659" s="345" t="str">
        <f>+G659</f>
        <v>gl</v>
      </c>
      <c r="J659" s="350">
        <f t="shared" ref="J659:J663" si="124">+H659*F659</f>
        <v>222.39637354859997</v>
      </c>
      <c r="K659" s="360" t="s">
        <v>2299</v>
      </c>
      <c r="L659" s="20"/>
      <c r="M659" s="14" t="s">
        <v>2004</v>
      </c>
    </row>
    <row r="660" spans="1:19">
      <c r="A660" s="14" t="s">
        <v>121</v>
      </c>
      <c r="D660" s="18">
        <v>2</v>
      </c>
      <c r="E660" s="26" t="str">
        <f>VLOOKUP($A660,MATMO,2,FALSE)</f>
        <v>Hormigonera</v>
      </c>
      <c r="F660" s="311">
        <v>1</v>
      </c>
      <c r="G660" s="307" t="str">
        <f>VLOOKUP($A660,MATMO,3,FALSE)</f>
        <v>hs</v>
      </c>
      <c r="H660" s="110">
        <f>VLOOKUP($A660,MATMO,4,FALSE)*$Q$6</f>
        <v>301.3085399449036</v>
      </c>
      <c r="I660" s="345" t="str">
        <f t="shared" ref="I660:I663" si="125">+G660</f>
        <v>hs</v>
      </c>
      <c r="J660" s="350">
        <f t="shared" si="124"/>
        <v>301.3085399449036</v>
      </c>
      <c r="K660" s="360" t="s">
        <v>2299</v>
      </c>
      <c r="L660" s="20"/>
    </row>
    <row r="661" spans="1:19">
      <c r="A661" s="14" t="s">
        <v>118</v>
      </c>
      <c r="D661" s="18">
        <v>3</v>
      </c>
      <c r="E661" s="26" t="str">
        <f>VLOOKUP($A661,MATMO,2,FALSE)</f>
        <v>-</v>
      </c>
      <c r="F661" s="311"/>
      <c r="G661" s="307" t="str">
        <f>VLOOKUP($A661,MATMO,3,FALSE)</f>
        <v>-</v>
      </c>
      <c r="H661" s="110">
        <f>VLOOKUP($A661,MATMO,4,FALSE)*$Q$6</f>
        <v>0</v>
      </c>
      <c r="I661" s="543" t="str">
        <f t="shared" si="125"/>
        <v>-</v>
      </c>
      <c r="J661" s="538">
        <f t="shared" si="124"/>
        <v>0</v>
      </c>
      <c r="K661" s="539" t="s">
        <v>2299</v>
      </c>
      <c r="L661" s="20"/>
    </row>
    <row r="662" spans="1:19">
      <c r="A662" s="14" t="s">
        <v>118</v>
      </c>
      <c r="D662" s="18">
        <v>4</v>
      </c>
      <c r="E662" s="26" t="str">
        <f>VLOOKUP($A662,MATMO,2,FALSE)</f>
        <v>-</v>
      </c>
      <c r="F662" s="311"/>
      <c r="G662" s="307" t="str">
        <f>VLOOKUP($A662,MATMO,3,FALSE)</f>
        <v>-</v>
      </c>
      <c r="H662" s="110">
        <f>VLOOKUP($A662,MATMO,4,FALSE)*$Q$6</f>
        <v>0</v>
      </c>
      <c r="I662" s="543" t="str">
        <f t="shared" si="125"/>
        <v>-</v>
      </c>
      <c r="J662" s="538">
        <f t="shared" si="124"/>
        <v>0</v>
      </c>
      <c r="K662" s="539" t="s">
        <v>2299</v>
      </c>
      <c r="L662" s="20"/>
    </row>
    <row r="663" spans="1:19">
      <c r="A663" s="14" t="s">
        <v>118</v>
      </c>
      <c r="D663" s="18">
        <v>5</v>
      </c>
      <c r="E663" s="26" t="str">
        <f>VLOOKUP($A663,MATMO,2,FALSE)</f>
        <v>-</v>
      </c>
      <c r="F663" s="311"/>
      <c r="G663" s="307" t="str">
        <f>VLOOKUP($A663,MATMO,3,FALSE)</f>
        <v>-</v>
      </c>
      <c r="H663" s="110">
        <f>VLOOKUP($A663,MATMO,4,FALSE)*$Q$6</f>
        <v>0</v>
      </c>
      <c r="I663" s="543" t="str">
        <f t="shared" si="125"/>
        <v>-</v>
      </c>
      <c r="J663" s="538">
        <f t="shared" si="124"/>
        <v>0</v>
      </c>
      <c r="K663" s="539" t="s">
        <v>2299</v>
      </c>
      <c r="L663" s="20"/>
    </row>
    <row r="664" spans="1:19">
      <c r="A664" s="14">
        <f>A617+1</f>
        <v>14</v>
      </c>
      <c r="B664" s="14" t="str">
        <f>"E" &amp; TEXT(A664,"##000")</f>
        <v>E014</v>
      </c>
      <c r="D664" s="18"/>
      <c r="E664" s="591" t="s">
        <v>2300</v>
      </c>
      <c r="F664" s="592"/>
      <c r="G664" s="592"/>
      <c r="H664" s="592"/>
      <c r="I664" s="327"/>
      <c r="J664" s="362">
        <f>SUM(J659:J663)</f>
        <v>523.70491349350357</v>
      </c>
      <c r="K664" s="365" t="s">
        <v>116</v>
      </c>
      <c r="L664" s="20"/>
    </row>
    <row r="665" spans="1:19">
      <c r="D665" s="18"/>
      <c r="E665" s="596"/>
      <c r="F665" s="597"/>
      <c r="G665" s="597"/>
      <c r="H665" s="597"/>
      <c r="I665" s="597"/>
      <c r="J665" s="598"/>
      <c r="K665" s="348"/>
      <c r="L665" s="20"/>
    </row>
    <row r="666" spans="1:19">
      <c r="D666" s="18"/>
      <c r="E666" s="591" t="s">
        <v>2306</v>
      </c>
      <c r="F666" s="592"/>
      <c r="G666" s="592"/>
      <c r="H666" s="592"/>
      <c r="I666" s="327"/>
      <c r="J666" s="308">
        <f>+J664+J657+J650</f>
        <v>6083.6142522085029</v>
      </c>
      <c r="K666" s="365" t="str">
        <f>+F627</f>
        <v>m3</v>
      </c>
      <c r="L666" s="20"/>
    </row>
    <row r="667" spans="1:19">
      <c r="D667" s="18"/>
      <c r="E667" s="591" t="s">
        <v>2305</v>
      </c>
      <c r="F667" s="592"/>
      <c r="G667" s="592"/>
      <c r="H667" s="592"/>
      <c r="I667" s="406">
        <f>+$Q$9</f>
        <v>1.6902999999999999</v>
      </c>
      <c r="J667" s="308">
        <f>+$Q$9*J666</f>
        <v>10283.133170508032</v>
      </c>
      <c r="K667" s="365" t="str">
        <f>+F627</f>
        <v>m3</v>
      </c>
      <c r="L667" s="20"/>
    </row>
    <row r="668" spans="1:19">
      <c r="A668" s="14">
        <f>A621+1</f>
        <v>14</v>
      </c>
      <c r="B668" s="14" t="str">
        <f>"TR" &amp; TEXT(A668,"##000")</f>
        <v>TR014</v>
      </c>
      <c r="C668" s="14">
        <f>+C621+1</f>
        <v>14</v>
      </c>
      <c r="D668" s="18"/>
      <c r="E668" s="591" t="s">
        <v>2304</v>
      </c>
      <c r="F668" s="592"/>
      <c r="G668" s="592"/>
      <c r="H668" s="592"/>
      <c r="I668" s="327"/>
      <c r="J668" s="308">
        <f>+J667</f>
        <v>10283.133170508032</v>
      </c>
      <c r="K668" s="365" t="str">
        <f>+F627</f>
        <v>m3</v>
      </c>
      <c r="L668" s="20"/>
    </row>
    <row r="669" spans="1:19" ht="16.5" thickBot="1">
      <c r="D669" s="21"/>
      <c r="E669" s="30"/>
      <c r="F669" s="30"/>
      <c r="G669" s="30"/>
      <c r="H669" s="30"/>
      <c r="I669" s="30"/>
      <c r="J669" s="30"/>
      <c r="K669" s="349"/>
      <c r="L669" s="22"/>
    </row>
    <row r="670" spans="1:19" ht="16.5" thickTop="1">
      <c r="D670" s="15"/>
      <c r="E670" s="16"/>
      <c r="F670" s="16"/>
      <c r="G670" s="16"/>
      <c r="H670" s="16"/>
      <c r="I670" s="16"/>
      <c r="J670" s="16"/>
      <c r="K670" s="16"/>
      <c r="L670" s="17"/>
    </row>
    <row r="671" spans="1:19">
      <c r="A671" s="14" t="s">
        <v>1823</v>
      </c>
      <c r="D671" s="18"/>
      <c r="E671" s="23" t="s">
        <v>95</v>
      </c>
      <c r="F671" s="24" t="str">
        <f>VLOOKUP($A671,DATRUB,3,FALSE)</f>
        <v>RUBRO III:</v>
      </c>
      <c r="G671" s="599" t="str">
        <f>VLOOKUP($A671,DATRUB,4,FALSE)</f>
        <v xml:space="preserve"> ESTRUCTURA RESISTENTE</v>
      </c>
      <c r="H671" s="599"/>
      <c r="I671" s="599"/>
      <c r="J671" s="599"/>
      <c r="K671" s="599"/>
      <c r="L671" s="20"/>
    </row>
    <row r="672" spans="1:19" ht="35.1" customHeight="1">
      <c r="A672" s="14" t="s">
        <v>1831</v>
      </c>
      <c r="D672" s="18"/>
      <c r="E672" s="23" t="s">
        <v>96</v>
      </c>
      <c r="F672" s="399">
        <f>VLOOKUP($A672,DATRUB,3,FALSE)</f>
        <v>3.8</v>
      </c>
      <c r="G672" s="599" t="str">
        <f>VLOOKUP($A672,DATRUB,4,FALSE)</f>
        <v>Vigas de Carga</v>
      </c>
      <c r="H672" s="599"/>
      <c r="I672" s="599"/>
      <c r="J672" s="599"/>
      <c r="K672" s="599"/>
      <c r="L672" s="20"/>
    </row>
    <row r="673" spans="1:13" ht="35.1" customHeight="1">
      <c r="A673" s="14" t="s">
        <v>1831</v>
      </c>
      <c r="D673" s="18"/>
      <c r="E673" s="23" t="s">
        <v>97</v>
      </c>
      <c r="F673" s="399">
        <f>VLOOKUP($A673,DATRUB,3,FALSE)</f>
        <v>3.8</v>
      </c>
      <c r="G673" s="599" t="str">
        <f>VLOOKUP($A673,DATRUB,4,FALSE)</f>
        <v>Vigas de Carga</v>
      </c>
      <c r="H673" s="599"/>
      <c r="I673" s="599"/>
      <c r="J673" s="599"/>
      <c r="K673" s="599"/>
      <c r="L673" s="20"/>
    </row>
    <row r="674" spans="1:13">
      <c r="D674" s="18"/>
      <c r="E674" s="23" t="s">
        <v>98</v>
      </c>
      <c r="F674" s="24" t="str">
        <f>VLOOKUP($A673,DATRUB,5,FALSE)</f>
        <v>m3</v>
      </c>
      <c r="G674" s="600"/>
      <c r="H674" s="600"/>
      <c r="I674" s="600"/>
      <c r="J674" s="600"/>
      <c r="K674" s="600"/>
      <c r="L674" s="20"/>
    </row>
    <row r="675" spans="1:13">
      <c r="D675" s="18"/>
      <c r="E675" s="24" t="s">
        <v>1158</v>
      </c>
      <c r="F675" s="25" t="s">
        <v>1250</v>
      </c>
      <c r="G675" s="24" t="s">
        <v>24</v>
      </c>
      <c r="H675" s="24" t="s">
        <v>25</v>
      </c>
      <c r="I675" s="24" t="s">
        <v>24</v>
      </c>
      <c r="J675" s="24" t="s">
        <v>2298</v>
      </c>
      <c r="K675" s="24" t="s">
        <v>24</v>
      </c>
      <c r="L675" s="20"/>
    </row>
    <row r="676" spans="1:13">
      <c r="D676" s="18"/>
      <c r="E676" s="593" t="s">
        <v>99</v>
      </c>
      <c r="F676" s="594"/>
      <c r="G676" s="594"/>
      <c r="H676" s="594"/>
      <c r="I676" s="594"/>
      <c r="J676" s="594"/>
      <c r="K676" s="595"/>
      <c r="L676" s="20"/>
    </row>
    <row r="677" spans="1:13">
      <c r="A677" s="14" t="s">
        <v>2433</v>
      </c>
      <c r="D677" s="18">
        <v>1</v>
      </c>
      <c r="E677" s="355" t="str">
        <f t="shared" ref="E677:E696" si="126">VLOOKUP($A677,MATMO,2,FALSE)</f>
        <v>Hormigón Elaborado 4</v>
      </c>
      <c r="F677" s="356">
        <v>1.1000000000000001</v>
      </c>
      <c r="G677" s="357" t="str">
        <f t="shared" ref="G677:G696" si="127">VLOOKUP($A677,MATMO,3,FALSE)</f>
        <v>m³</v>
      </c>
      <c r="H677" s="358">
        <f t="shared" ref="H677:H696" si="128">VLOOKUP($A677,MATMO,4,FALSE)*$Q$6</f>
        <v>1421</v>
      </c>
      <c r="I677" s="359" t="str">
        <f t="shared" ref="I677:I696" si="129">+G677</f>
        <v>m³</v>
      </c>
      <c r="J677" s="361">
        <f>+H677*F677</f>
        <v>1563.1000000000001</v>
      </c>
      <c r="K677" s="360" t="s">
        <v>2299</v>
      </c>
      <c r="L677" s="20"/>
      <c r="M677" s="14" t="s">
        <v>2005</v>
      </c>
    </row>
    <row r="678" spans="1:13">
      <c r="A678" s="14" t="s">
        <v>2369</v>
      </c>
      <c r="D678" s="18">
        <v>2</v>
      </c>
      <c r="E678" s="26" t="str">
        <f t="shared" si="126"/>
        <v>Hierro</v>
      </c>
      <c r="F678" s="401">
        <v>100</v>
      </c>
      <c r="G678" s="307" t="str">
        <f t="shared" si="127"/>
        <v>kg</v>
      </c>
      <c r="H678" s="351">
        <f t="shared" si="128"/>
        <v>15.588335288624991</v>
      </c>
      <c r="I678" s="354" t="str">
        <f t="shared" si="129"/>
        <v>kg</v>
      </c>
      <c r="J678" s="350">
        <f t="shared" ref="J678:J696" si="130">+H678*F678</f>
        <v>1558.8335288624992</v>
      </c>
      <c r="K678" s="360" t="s">
        <v>2299</v>
      </c>
      <c r="L678" s="20"/>
    </row>
    <row r="679" spans="1:13">
      <c r="A679" s="14" t="s">
        <v>2370</v>
      </c>
      <c r="D679" s="18">
        <v>3</v>
      </c>
      <c r="E679" s="26" t="str">
        <f t="shared" si="126"/>
        <v>Encofrado</v>
      </c>
      <c r="F679" s="400">
        <v>5</v>
      </c>
      <c r="G679" s="307" t="str">
        <f t="shared" si="127"/>
        <v>m²</v>
      </c>
      <c r="H679" s="351">
        <f t="shared" si="128"/>
        <v>380</v>
      </c>
      <c r="I679" s="354" t="str">
        <f t="shared" si="129"/>
        <v>m²</v>
      </c>
      <c r="J679" s="350">
        <f t="shared" si="130"/>
        <v>1900</v>
      </c>
      <c r="K679" s="360" t="s">
        <v>2299</v>
      </c>
      <c r="L679" s="20"/>
    </row>
    <row r="680" spans="1:13">
      <c r="A680" s="14" t="s">
        <v>2371</v>
      </c>
      <c r="D680" s="18">
        <v>4</v>
      </c>
      <c r="E680" s="26" t="str">
        <f t="shared" si="126"/>
        <v>Clavos 2"</v>
      </c>
      <c r="F680" s="400">
        <v>0.6</v>
      </c>
      <c r="G680" s="307" t="str">
        <f t="shared" si="127"/>
        <v>kg</v>
      </c>
      <c r="H680" s="351">
        <f t="shared" si="128"/>
        <v>20.83</v>
      </c>
      <c r="I680" s="354" t="str">
        <f t="shared" si="129"/>
        <v>kg</v>
      </c>
      <c r="J680" s="350">
        <f t="shared" si="130"/>
        <v>12.497999999999999</v>
      </c>
      <c r="K680" s="360" t="s">
        <v>2299</v>
      </c>
      <c r="L680" s="20"/>
    </row>
    <row r="681" spans="1:13">
      <c r="A681" s="14" t="s">
        <v>2368</v>
      </c>
      <c r="D681" s="18">
        <v>5</v>
      </c>
      <c r="E681" s="26" t="str">
        <f t="shared" si="126"/>
        <v>Alambre N° 14</v>
      </c>
      <c r="F681" s="401">
        <v>3</v>
      </c>
      <c r="G681" s="307" t="str">
        <f t="shared" si="127"/>
        <v>kg</v>
      </c>
      <c r="H681" s="351">
        <f t="shared" si="128"/>
        <v>24.334</v>
      </c>
      <c r="I681" s="354" t="str">
        <f t="shared" si="129"/>
        <v>kg</v>
      </c>
      <c r="J681" s="350">
        <f t="shared" si="130"/>
        <v>73.001999999999995</v>
      </c>
      <c r="K681" s="360" t="s">
        <v>2299</v>
      </c>
      <c r="L681" s="20"/>
    </row>
    <row r="682" spans="1:13">
      <c r="A682" s="14" t="s">
        <v>2372</v>
      </c>
      <c r="D682" s="18">
        <v>6</v>
      </c>
      <c r="E682" s="26" t="str">
        <f t="shared" si="126"/>
        <v xml:space="preserve">Maderas Accesorios </v>
      </c>
      <c r="F682" s="311">
        <v>40</v>
      </c>
      <c r="G682" s="307" t="str">
        <f t="shared" si="127"/>
        <v>gl</v>
      </c>
      <c r="H682" s="351">
        <f t="shared" si="128"/>
        <v>5</v>
      </c>
      <c r="I682" s="354" t="str">
        <f t="shared" si="129"/>
        <v>gl</v>
      </c>
      <c r="J682" s="350">
        <f t="shared" si="130"/>
        <v>200</v>
      </c>
      <c r="K682" s="360" t="s">
        <v>2299</v>
      </c>
      <c r="L682" s="20"/>
    </row>
    <row r="683" spans="1:13">
      <c r="A683" s="14" t="s">
        <v>31</v>
      </c>
      <c r="D683" s="18">
        <v>7</v>
      </c>
      <c r="E683" s="26" t="str">
        <f t="shared" si="126"/>
        <v>-</v>
      </c>
      <c r="F683" s="311"/>
      <c r="G683" s="307" t="str">
        <f t="shared" si="127"/>
        <v>-</v>
      </c>
      <c r="H683" s="351">
        <f t="shared" si="128"/>
        <v>0</v>
      </c>
      <c r="I683" s="537" t="str">
        <f t="shared" si="129"/>
        <v>-</v>
      </c>
      <c r="J683" s="538">
        <f t="shared" si="130"/>
        <v>0</v>
      </c>
      <c r="K683" s="539" t="s">
        <v>2299</v>
      </c>
      <c r="L683" s="20"/>
    </row>
    <row r="684" spans="1:13">
      <c r="A684" s="14" t="s">
        <v>31</v>
      </c>
      <c r="D684" s="18">
        <v>8</v>
      </c>
      <c r="E684" s="26" t="str">
        <f t="shared" si="126"/>
        <v>-</v>
      </c>
      <c r="F684" s="311"/>
      <c r="G684" s="307" t="str">
        <f t="shared" si="127"/>
        <v>-</v>
      </c>
      <c r="H684" s="351">
        <f t="shared" si="128"/>
        <v>0</v>
      </c>
      <c r="I684" s="537" t="str">
        <f t="shared" si="129"/>
        <v>-</v>
      </c>
      <c r="J684" s="538">
        <f t="shared" si="130"/>
        <v>0</v>
      </c>
      <c r="K684" s="539" t="s">
        <v>2299</v>
      </c>
      <c r="L684" s="20"/>
    </row>
    <row r="685" spans="1:13">
      <c r="A685" s="14" t="s">
        <v>31</v>
      </c>
      <c r="D685" s="18">
        <v>9</v>
      </c>
      <c r="E685" s="26" t="str">
        <f t="shared" si="126"/>
        <v>-</v>
      </c>
      <c r="F685" s="311"/>
      <c r="G685" s="307" t="str">
        <f t="shared" si="127"/>
        <v>-</v>
      </c>
      <c r="H685" s="351">
        <f t="shared" si="128"/>
        <v>0</v>
      </c>
      <c r="I685" s="537" t="str">
        <f t="shared" si="129"/>
        <v>-</v>
      </c>
      <c r="J685" s="538">
        <f t="shared" si="130"/>
        <v>0</v>
      </c>
      <c r="K685" s="539" t="s">
        <v>2299</v>
      </c>
      <c r="L685" s="20"/>
    </row>
    <row r="686" spans="1:13">
      <c r="A686" s="14" t="s">
        <v>31</v>
      </c>
      <c r="D686" s="18">
        <v>10</v>
      </c>
      <c r="E686" s="26" t="str">
        <f t="shared" si="126"/>
        <v>-</v>
      </c>
      <c r="F686" s="311"/>
      <c r="G686" s="307" t="str">
        <f t="shared" si="127"/>
        <v>-</v>
      </c>
      <c r="H686" s="351">
        <f t="shared" si="128"/>
        <v>0</v>
      </c>
      <c r="I686" s="537" t="str">
        <f t="shared" si="129"/>
        <v>-</v>
      </c>
      <c r="J686" s="538">
        <f t="shared" si="130"/>
        <v>0</v>
      </c>
      <c r="K686" s="539" t="s">
        <v>2299</v>
      </c>
      <c r="L686" s="20"/>
    </row>
    <row r="687" spans="1:13">
      <c r="A687" s="14" t="s">
        <v>31</v>
      </c>
      <c r="D687" s="18">
        <v>11</v>
      </c>
      <c r="E687" s="26" t="str">
        <f t="shared" si="126"/>
        <v>-</v>
      </c>
      <c r="F687" s="311"/>
      <c r="G687" s="307" t="str">
        <f t="shared" si="127"/>
        <v>-</v>
      </c>
      <c r="H687" s="351">
        <f t="shared" si="128"/>
        <v>0</v>
      </c>
      <c r="I687" s="537" t="str">
        <f t="shared" si="129"/>
        <v>-</v>
      </c>
      <c r="J687" s="538">
        <f t="shared" si="130"/>
        <v>0</v>
      </c>
      <c r="K687" s="539" t="s">
        <v>2299</v>
      </c>
      <c r="L687" s="20"/>
    </row>
    <row r="688" spans="1:13">
      <c r="A688" s="14" t="s">
        <v>31</v>
      </c>
      <c r="D688" s="18">
        <v>12</v>
      </c>
      <c r="E688" s="26" t="str">
        <f t="shared" si="126"/>
        <v>-</v>
      </c>
      <c r="F688" s="311"/>
      <c r="G688" s="307" t="str">
        <f t="shared" si="127"/>
        <v>-</v>
      </c>
      <c r="H688" s="352">
        <f t="shared" si="128"/>
        <v>0</v>
      </c>
      <c r="I688" s="537" t="str">
        <f t="shared" si="129"/>
        <v>-</v>
      </c>
      <c r="J688" s="538">
        <f t="shared" si="130"/>
        <v>0</v>
      </c>
      <c r="K688" s="539" t="s">
        <v>2299</v>
      </c>
      <c r="L688" s="20"/>
    </row>
    <row r="689" spans="1:19">
      <c r="A689" s="14" t="s">
        <v>31</v>
      </c>
      <c r="D689" s="18">
        <v>13</v>
      </c>
      <c r="E689" s="26" t="str">
        <f t="shared" si="126"/>
        <v>-</v>
      </c>
      <c r="F689" s="311"/>
      <c r="G689" s="307" t="str">
        <f t="shared" si="127"/>
        <v>-</v>
      </c>
      <c r="H689" s="352">
        <f t="shared" si="128"/>
        <v>0</v>
      </c>
      <c r="I689" s="537" t="str">
        <f t="shared" si="129"/>
        <v>-</v>
      </c>
      <c r="J689" s="538">
        <f t="shared" si="130"/>
        <v>0</v>
      </c>
      <c r="K689" s="539" t="s">
        <v>2299</v>
      </c>
      <c r="L689" s="20"/>
    </row>
    <row r="690" spans="1:19">
      <c r="A690" s="14" t="s">
        <v>31</v>
      </c>
      <c r="D690" s="18">
        <v>14</v>
      </c>
      <c r="E690" s="26" t="str">
        <f t="shared" si="126"/>
        <v>-</v>
      </c>
      <c r="F690" s="311"/>
      <c r="G690" s="307" t="str">
        <f t="shared" si="127"/>
        <v>-</v>
      </c>
      <c r="H690" s="352">
        <f t="shared" si="128"/>
        <v>0</v>
      </c>
      <c r="I690" s="537" t="str">
        <f t="shared" si="129"/>
        <v>-</v>
      </c>
      <c r="J690" s="538">
        <f t="shared" si="130"/>
        <v>0</v>
      </c>
      <c r="K690" s="539" t="s">
        <v>2299</v>
      </c>
      <c r="L690" s="20"/>
    </row>
    <row r="691" spans="1:19">
      <c r="A691" s="14" t="s">
        <v>31</v>
      </c>
      <c r="D691" s="18">
        <v>15</v>
      </c>
      <c r="E691" s="26" t="str">
        <f t="shared" si="126"/>
        <v>-</v>
      </c>
      <c r="F691" s="311"/>
      <c r="G691" s="307" t="str">
        <f t="shared" si="127"/>
        <v>-</v>
      </c>
      <c r="H691" s="352">
        <f t="shared" si="128"/>
        <v>0</v>
      </c>
      <c r="I691" s="537" t="str">
        <f t="shared" si="129"/>
        <v>-</v>
      </c>
      <c r="J691" s="538">
        <f t="shared" si="130"/>
        <v>0</v>
      </c>
      <c r="K691" s="539" t="s">
        <v>2299</v>
      </c>
      <c r="L691" s="20"/>
    </row>
    <row r="692" spans="1:19">
      <c r="A692" s="14" t="s">
        <v>31</v>
      </c>
      <c r="D692" s="18">
        <v>16</v>
      </c>
      <c r="E692" s="26" t="str">
        <f t="shared" si="126"/>
        <v>-</v>
      </c>
      <c r="F692" s="311"/>
      <c r="G692" s="307" t="str">
        <f t="shared" si="127"/>
        <v>-</v>
      </c>
      <c r="H692" s="352">
        <f t="shared" si="128"/>
        <v>0</v>
      </c>
      <c r="I692" s="537" t="str">
        <f t="shared" si="129"/>
        <v>-</v>
      </c>
      <c r="J692" s="538">
        <f t="shared" si="130"/>
        <v>0</v>
      </c>
      <c r="K692" s="539" t="s">
        <v>2299</v>
      </c>
      <c r="L692" s="20"/>
    </row>
    <row r="693" spans="1:19">
      <c r="A693" s="14" t="s">
        <v>31</v>
      </c>
      <c r="D693" s="18">
        <v>17</v>
      </c>
      <c r="E693" s="26" t="str">
        <f t="shared" si="126"/>
        <v>-</v>
      </c>
      <c r="F693" s="311"/>
      <c r="G693" s="307" t="str">
        <f t="shared" si="127"/>
        <v>-</v>
      </c>
      <c r="H693" s="352">
        <f t="shared" si="128"/>
        <v>0</v>
      </c>
      <c r="I693" s="537" t="str">
        <f t="shared" si="129"/>
        <v>-</v>
      </c>
      <c r="J693" s="538">
        <f t="shared" si="130"/>
        <v>0</v>
      </c>
      <c r="K693" s="539" t="s">
        <v>2299</v>
      </c>
      <c r="L693" s="20"/>
    </row>
    <row r="694" spans="1:19">
      <c r="A694" s="14" t="s">
        <v>31</v>
      </c>
      <c r="D694" s="18">
        <v>18</v>
      </c>
      <c r="E694" s="26" t="str">
        <f t="shared" si="126"/>
        <v>-</v>
      </c>
      <c r="F694" s="311"/>
      <c r="G694" s="307" t="str">
        <f t="shared" si="127"/>
        <v>-</v>
      </c>
      <c r="H694" s="352">
        <f t="shared" si="128"/>
        <v>0</v>
      </c>
      <c r="I694" s="537" t="str">
        <f t="shared" si="129"/>
        <v>-</v>
      </c>
      <c r="J694" s="538">
        <f t="shared" si="130"/>
        <v>0</v>
      </c>
      <c r="K694" s="539" t="s">
        <v>2299</v>
      </c>
      <c r="L694" s="20"/>
    </row>
    <row r="695" spans="1:19">
      <c r="A695" s="14" t="s">
        <v>31</v>
      </c>
      <c r="D695" s="18">
        <v>19</v>
      </c>
      <c r="E695" s="26" t="str">
        <f t="shared" si="126"/>
        <v>-</v>
      </c>
      <c r="F695" s="311"/>
      <c r="G695" s="307" t="str">
        <f t="shared" si="127"/>
        <v>-</v>
      </c>
      <c r="H695" s="352">
        <f t="shared" si="128"/>
        <v>0</v>
      </c>
      <c r="I695" s="537" t="str">
        <f t="shared" si="129"/>
        <v>-</v>
      </c>
      <c r="J695" s="538">
        <f t="shared" si="130"/>
        <v>0</v>
      </c>
      <c r="K695" s="539" t="s">
        <v>2299</v>
      </c>
      <c r="L695" s="20"/>
    </row>
    <row r="696" spans="1:19">
      <c r="A696" s="14" t="s">
        <v>31</v>
      </c>
      <c r="D696" s="18">
        <v>20</v>
      </c>
      <c r="E696" s="26" t="str">
        <f t="shared" si="126"/>
        <v>-</v>
      </c>
      <c r="F696" s="311"/>
      <c r="G696" s="307" t="str">
        <f t="shared" si="127"/>
        <v>-</v>
      </c>
      <c r="H696" s="352">
        <f t="shared" si="128"/>
        <v>0</v>
      </c>
      <c r="I696" s="537" t="str">
        <f t="shared" si="129"/>
        <v>-</v>
      </c>
      <c r="J696" s="541">
        <f t="shared" si="130"/>
        <v>0</v>
      </c>
      <c r="K696" s="539" t="s">
        <v>2299</v>
      </c>
      <c r="L696" s="20"/>
    </row>
    <row r="697" spans="1:19">
      <c r="A697" s="14">
        <f>A664+1</f>
        <v>15</v>
      </c>
      <c r="B697" s="14" t="str">
        <f>"MA" &amp; TEXT(A697,"##000")</f>
        <v>MA015</v>
      </c>
      <c r="D697" s="18"/>
      <c r="E697" s="591" t="s">
        <v>2302</v>
      </c>
      <c r="F697" s="592"/>
      <c r="G697" s="592"/>
      <c r="H697" s="592"/>
      <c r="I697" s="327"/>
      <c r="J697" s="353">
        <f>SUM(J677:J696)</f>
        <v>5307.4335288624989</v>
      </c>
      <c r="K697" s="365" t="str">
        <f>+F674</f>
        <v>m3</v>
      </c>
      <c r="L697" s="20"/>
      <c r="O697" s="27" t="s">
        <v>1525</v>
      </c>
      <c r="P697" s="110">
        <v>350</v>
      </c>
    </row>
    <row r="698" spans="1:19">
      <c r="D698" s="18"/>
      <c r="E698" s="593" t="s">
        <v>100</v>
      </c>
      <c r="F698" s="594"/>
      <c r="G698" s="594"/>
      <c r="H698" s="594"/>
      <c r="I698" s="594"/>
      <c r="J698" s="595"/>
      <c r="K698" s="347"/>
      <c r="L698" s="20"/>
      <c r="O698" s="27" t="s">
        <v>1524</v>
      </c>
      <c r="P698" s="110">
        <f>+F678*10</f>
        <v>1000</v>
      </c>
    </row>
    <row r="699" spans="1:19">
      <c r="A699" s="14" t="s">
        <v>84</v>
      </c>
      <c r="D699" s="18">
        <v>1</v>
      </c>
      <c r="E699" s="26" t="str">
        <f>VLOOKUP($A699,MATMO,2,FALSE)</f>
        <v>Oficial</v>
      </c>
      <c r="F699" s="311">
        <v>27.3</v>
      </c>
      <c r="G699" s="307" t="str">
        <f>VLOOKUP($A699,MATMO,3,FALSE)</f>
        <v>hs</v>
      </c>
      <c r="H699" s="110">
        <f>VLOOKUP($A699,MATMO,4,FALSE)*$Q$7</f>
        <v>55.38</v>
      </c>
      <c r="I699" s="354" t="str">
        <f t="shared" ref="I699:I703" si="131">+G699</f>
        <v>hs</v>
      </c>
      <c r="J699" s="350">
        <f t="shared" ref="J699:J703" si="132">+H699*F699</f>
        <v>1511.874</v>
      </c>
      <c r="K699" s="360" t="s">
        <v>2299</v>
      </c>
      <c r="L699" s="20"/>
      <c r="M699" s="14" t="s">
        <v>2006</v>
      </c>
      <c r="O699" s="27" t="s">
        <v>1526</v>
      </c>
      <c r="P699" s="110">
        <v>500</v>
      </c>
    </row>
    <row r="700" spans="1:19">
      <c r="A700" s="14" t="s">
        <v>85</v>
      </c>
      <c r="D700" s="18">
        <v>2</v>
      </c>
      <c r="E700" s="26" t="str">
        <f>VLOOKUP($A700,MATMO,2,FALSE)</f>
        <v>Ayudante</v>
      </c>
      <c r="F700" s="311">
        <v>6.2</v>
      </c>
      <c r="G700" s="307" t="str">
        <f>VLOOKUP($A700,MATMO,3,FALSE)</f>
        <v>hs</v>
      </c>
      <c r="H700" s="110">
        <f>VLOOKUP($A700,MATMO,4,FALSE)*$Q$7</f>
        <v>46.87</v>
      </c>
      <c r="I700" s="354" t="str">
        <f t="shared" si="131"/>
        <v>hs</v>
      </c>
      <c r="J700" s="350">
        <f t="shared" si="132"/>
        <v>290.59399999999999</v>
      </c>
      <c r="K700" s="360" t="s">
        <v>2299</v>
      </c>
      <c r="L700" s="20"/>
      <c r="O700" s="27" t="s">
        <v>1527</v>
      </c>
      <c r="P700" s="110">
        <v>0</v>
      </c>
    </row>
    <row r="701" spans="1:19">
      <c r="A701" s="14" t="s">
        <v>2311</v>
      </c>
      <c r="D701" s="18">
        <v>3</v>
      </c>
      <c r="E701" s="26" t="str">
        <f>VLOOKUP($A701,MATMO,2,FALSE)</f>
        <v>Cargas Sociales Oficial</v>
      </c>
      <c r="F701" s="311">
        <f>+F699</f>
        <v>27.3</v>
      </c>
      <c r="G701" s="307" t="str">
        <f>VLOOKUP($A701,MATMO,3,FALSE)</f>
        <v>hs</v>
      </c>
      <c r="H701" s="110">
        <f>VLOOKUP($A701,MATMO,4,FALSE)*$Q$7</f>
        <v>52.742782499999997</v>
      </c>
      <c r="I701" s="354" t="str">
        <f t="shared" si="131"/>
        <v>hs</v>
      </c>
      <c r="J701" s="350">
        <f t="shared" si="132"/>
        <v>1439.8779622499999</v>
      </c>
      <c r="K701" s="360" t="s">
        <v>2299</v>
      </c>
      <c r="L701" s="20"/>
      <c r="O701" s="27"/>
      <c r="P701" s="110">
        <v>0</v>
      </c>
    </row>
    <row r="702" spans="1:19">
      <c r="A702" s="14" t="s">
        <v>2312</v>
      </c>
      <c r="D702" s="18">
        <v>4</v>
      </c>
      <c r="E702" s="26" t="str">
        <f>VLOOKUP($A702,MATMO,2,FALSE)</f>
        <v>Cargas Sociales Ayudante</v>
      </c>
      <c r="F702" s="311">
        <f>+F700</f>
        <v>6.2</v>
      </c>
      <c r="G702" s="307" t="str">
        <f>VLOOKUP($A702,MATMO,3,FALSE)</f>
        <v>hs</v>
      </c>
      <c r="H702" s="110">
        <f>VLOOKUP($A702,MATMO,4,FALSE)*$Q$7</f>
        <v>45.108248750000001</v>
      </c>
      <c r="I702" s="354" t="str">
        <f t="shared" si="131"/>
        <v>hs</v>
      </c>
      <c r="J702" s="350">
        <f t="shared" si="132"/>
        <v>279.67114225</v>
      </c>
      <c r="K702" s="360" t="s">
        <v>2299</v>
      </c>
      <c r="L702" s="20"/>
      <c r="O702" s="27"/>
      <c r="P702" s="110">
        <v>0</v>
      </c>
    </row>
    <row r="703" spans="1:19" ht="16.5" thickBot="1">
      <c r="A703" s="14" t="s">
        <v>83</v>
      </c>
      <c r="D703" s="18">
        <v>5</v>
      </c>
      <c r="E703" s="26" t="str">
        <f>VLOOKUP($A703,MATMO,2,FALSE)</f>
        <v>-</v>
      </c>
      <c r="F703" s="311"/>
      <c r="G703" s="307" t="str">
        <f>VLOOKUP($A703,MATMO,3,FALSE)</f>
        <v>-</v>
      </c>
      <c r="H703" s="110">
        <f>VLOOKUP($A703,MATMO,4,FALSE)*$Q$7</f>
        <v>0</v>
      </c>
      <c r="I703" s="537" t="str">
        <f t="shared" si="131"/>
        <v>-</v>
      </c>
      <c r="J703" s="538">
        <f t="shared" si="132"/>
        <v>0</v>
      </c>
      <c r="K703" s="539" t="s">
        <v>2299</v>
      </c>
      <c r="L703" s="20"/>
      <c r="O703" s="27"/>
      <c r="P703" s="110">
        <v>0</v>
      </c>
      <c r="R703" s="29" t="s">
        <v>2307</v>
      </c>
    </row>
    <row r="704" spans="1:19" ht="16.5" thickBot="1">
      <c r="A704" s="14">
        <f>A664+1</f>
        <v>15</v>
      </c>
      <c r="B704" s="14" t="str">
        <f>"MO" &amp; TEXT(A704,"##000")</f>
        <v>MO015</v>
      </c>
      <c r="D704" s="18"/>
      <c r="E704" s="591" t="s">
        <v>2301</v>
      </c>
      <c r="F704" s="592"/>
      <c r="G704" s="592"/>
      <c r="H704" s="592"/>
      <c r="I704" s="327"/>
      <c r="J704" s="362">
        <f>SUM(J699:J703)</f>
        <v>3522.0171044999997</v>
      </c>
      <c r="K704" s="365" t="str">
        <f>+G699</f>
        <v>hs</v>
      </c>
      <c r="L704" s="20"/>
      <c r="N704" s="111">
        <f>+P704+R704</f>
        <v>3515</v>
      </c>
      <c r="O704" s="27"/>
      <c r="P704" s="27">
        <f>SUM(P697:P703)</f>
        <v>1850</v>
      </c>
      <c r="Q704" s="26">
        <v>0.9</v>
      </c>
      <c r="R704" s="287">
        <f>+Q704*P704</f>
        <v>1665</v>
      </c>
      <c r="S704" s="288"/>
    </row>
    <row r="705" spans="1:16">
      <c r="D705" s="18"/>
      <c r="E705" s="593" t="s">
        <v>101</v>
      </c>
      <c r="F705" s="594"/>
      <c r="G705" s="594"/>
      <c r="H705" s="594"/>
      <c r="I705" s="594"/>
      <c r="J705" s="595"/>
      <c r="K705" s="347"/>
      <c r="L705" s="20"/>
      <c r="P705" s="14" t="s">
        <v>2308</v>
      </c>
    </row>
    <row r="706" spans="1:16">
      <c r="A706" s="14" t="s">
        <v>119</v>
      </c>
      <c r="D706" s="18">
        <v>1</v>
      </c>
      <c r="E706" s="26" t="str">
        <f>VLOOKUP($A706,MATMO,2,FALSE)</f>
        <v>Herramientas de Mano</v>
      </c>
      <c r="F706" s="311">
        <v>1</v>
      </c>
      <c r="G706" s="307" t="str">
        <f>VLOOKUP($A706,MATMO,3,FALSE)</f>
        <v>gl</v>
      </c>
      <c r="H706" s="110">
        <f>+(J697+J704)*$Q$5</f>
        <v>353.17802533449998</v>
      </c>
      <c r="I706" s="345" t="str">
        <f>+G706</f>
        <v>gl</v>
      </c>
      <c r="J706" s="350">
        <f t="shared" ref="J706:J710" si="133">+H706*F706</f>
        <v>353.17802533449998</v>
      </c>
      <c r="K706" s="360" t="s">
        <v>2299</v>
      </c>
      <c r="L706" s="20"/>
      <c r="M706" s="14" t="s">
        <v>2004</v>
      </c>
    </row>
    <row r="707" spans="1:16">
      <c r="A707" s="14" t="s">
        <v>269</v>
      </c>
      <c r="D707" s="18">
        <v>2</v>
      </c>
      <c r="E707" s="26" t="str">
        <f>VLOOKUP($A707,MATMO,2,FALSE)</f>
        <v>Servicio de Bomba Telescópica</v>
      </c>
      <c r="F707" s="311">
        <v>0.05</v>
      </c>
      <c r="G707" s="307" t="str">
        <f>VLOOKUP($A707,MATMO,3,FALSE)</f>
        <v>un</v>
      </c>
      <c r="H707" s="110">
        <f>VLOOKUP($A707,MATMO,4,FALSE)*$Q$6</f>
        <v>8000</v>
      </c>
      <c r="I707" s="345" t="str">
        <f t="shared" ref="I707:I710" si="134">+G707</f>
        <v>un</v>
      </c>
      <c r="J707" s="350">
        <f t="shared" si="133"/>
        <v>400</v>
      </c>
      <c r="K707" s="360" t="s">
        <v>2299</v>
      </c>
      <c r="L707" s="20"/>
    </row>
    <row r="708" spans="1:16">
      <c r="A708" s="14" t="s">
        <v>118</v>
      </c>
      <c r="D708" s="18">
        <v>3</v>
      </c>
      <c r="E708" s="26" t="str">
        <f>VLOOKUP($A708,MATMO,2,FALSE)</f>
        <v>-</v>
      </c>
      <c r="F708" s="311"/>
      <c r="G708" s="307" t="str">
        <f>VLOOKUP($A708,MATMO,3,FALSE)</f>
        <v>-</v>
      </c>
      <c r="H708" s="110">
        <f>VLOOKUP($A708,MATMO,4,FALSE)*$Q$6</f>
        <v>0</v>
      </c>
      <c r="I708" s="543" t="str">
        <f t="shared" si="134"/>
        <v>-</v>
      </c>
      <c r="J708" s="538">
        <f t="shared" si="133"/>
        <v>0</v>
      </c>
      <c r="K708" s="539" t="s">
        <v>2299</v>
      </c>
      <c r="L708" s="20"/>
    </row>
    <row r="709" spans="1:16">
      <c r="A709" s="14" t="s">
        <v>118</v>
      </c>
      <c r="D709" s="18">
        <v>4</v>
      </c>
      <c r="E709" s="26" t="str">
        <f>VLOOKUP($A709,MATMO,2,FALSE)</f>
        <v>-</v>
      </c>
      <c r="F709" s="311"/>
      <c r="G709" s="307" t="str">
        <f>VLOOKUP($A709,MATMO,3,FALSE)</f>
        <v>-</v>
      </c>
      <c r="H709" s="110">
        <f>VLOOKUP($A709,MATMO,4,FALSE)*$Q$6</f>
        <v>0</v>
      </c>
      <c r="I709" s="543" t="str">
        <f t="shared" si="134"/>
        <v>-</v>
      </c>
      <c r="J709" s="538">
        <f t="shared" si="133"/>
        <v>0</v>
      </c>
      <c r="K709" s="539" t="s">
        <v>2299</v>
      </c>
      <c r="L709" s="20"/>
    </row>
    <row r="710" spans="1:16">
      <c r="A710" s="14" t="s">
        <v>118</v>
      </c>
      <c r="D710" s="18">
        <v>5</v>
      </c>
      <c r="E710" s="26" t="str">
        <f>VLOOKUP($A710,MATMO,2,FALSE)</f>
        <v>-</v>
      </c>
      <c r="F710" s="311"/>
      <c r="G710" s="307" t="str">
        <f>VLOOKUP($A710,MATMO,3,FALSE)</f>
        <v>-</v>
      </c>
      <c r="H710" s="110">
        <f>VLOOKUP($A710,MATMO,4,FALSE)*$Q$6</f>
        <v>0</v>
      </c>
      <c r="I710" s="543" t="str">
        <f t="shared" si="134"/>
        <v>-</v>
      </c>
      <c r="J710" s="538">
        <f t="shared" si="133"/>
        <v>0</v>
      </c>
      <c r="K710" s="539" t="s">
        <v>2299</v>
      </c>
      <c r="L710" s="20"/>
    </row>
    <row r="711" spans="1:16">
      <c r="A711" s="14">
        <f>A664+1</f>
        <v>15</v>
      </c>
      <c r="B711" s="14" t="str">
        <f>"E" &amp; TEXT(A711,"##000")</f>
        <v>E015</v>
      </c>
      <c r="D711" s="18"/>
      <c r="E711" s="591" t="s">
        <v>2300</v>
      </c>
      <c r="F711" s="592"/>
      <c r="G711" s="592"/>
      <c r="H711" s="592"/>
      <c r="I711" s="327"/>
      <c r="J711" s="362">
        <f>SUM(J706:J710)</f>
        <v>753.17802533450003</v>
      </c>
      <c r="K711" s="365" t="s">
        <v>116</v>
      </c>
      <c r="L711" s="20"/>
    </row>
    <row r="712" spans="1:16">
      <c r="D712" s="18"/>
      <c r="E712" s="596"/>
      <c r="F712" s="597"/>
      <c r="G712" s="597"/>
      <c r="H712" s="597"/>
      <c r="I712" s="597"/>
      <c r="J712" s="598"/>
      <c r="K712" s="348"/>
      <c r="L712" s="20"/>
    </row>
    <row r="713" spans="1:16">
      <c r="D713" s="18"/>
      <c r="E713" s="591" t="s">
        <v>2306</v>
      </c>
      <c r="F713" s="592"/>
      <c r="G713" s="592"/>
      <c r="H713" s="592"/>
      <c r="I713" s="327"/>
      <c r="J713" s="308">
        <f>+J711+J704+J697</f>
        <v>9582.6286586969982</v>
      </c>
      <c r="K713" s="365" t="str">
        <f>+F674</f>
        <v>m3</v>
      </c>
      <c r="L713" s="20"/>
    </row>
    <row r="714" spans="1:16">
      <c r="D714" s="18"/>
      <c r="E714" s="591" t="s">
        <v>2305</v>
      </c>
      <c r="F714" s="592"/>
      <c r="G714" s="592"/>
      <c r="H714" s="592"/>
      <c r="I714" s="406">
        <f>+$Q$9</f>
        <v>1.6902999999999999</v>
      </c>
      <c r="J714" s="308">
        <f>+$Q$9*J713</f>
        <v>16197.517221795535</v>
      </c>
      <c r="K714" s="365" t="str">
        <f>+F674</f>
        <v>m3</v>
      </c>
      <c r="L714" s="20"/>
    </row>
    <row r="715" spans="1:16">
      <c r="A715" s="14">
        <f>A668+1</f>
        <v>15</v>
      </c>
      <c r="B715" s="14" t="str">
        <f>"TR" &amp; TEXT(A715,"##000")</f>
        <v>TR015</v>
      </c>
      <c r="C715" s="14">
        <f>+C668+1</f>
        <v>15</v>
      </c>
      <c r="D715" s="18"/>
      <c r="E715" s="591" t="s">
        <v>2304</v>
      </c>
      <c r="F715" s="592"/>
      <c r="G715" s="592"/>
      <c r="H715" s="592"/>
      <c r="I715" s="327"/>
      <c r="J715" s="308">
        <f>+J714</f>
        <v>16197.517221795535</v>
      </c>
      <c r="K715" s="365" t="str">
        <f>+F674</f>
        <v>m3</v>
      </c>
      <c r="L715" s="20"/>
    </row>
    <row r="716" spans="1:16" ht="16.5" thickBot="1">
      <c r="D716" s="21"/>
      <c r="E716" s="30"/>
      <c r="F716" s="30"/>
      <c r="G716" s="30"/>
      <c r="H716" s="30"/>
      <c r="I716" s="30"/>
      <c r="J716" s="30"/>
      <c r="K716" s="349"/>
      <c r="L716" s="22"/>
    </row>
    <row r="717" spans="1:16" ht="16.5" thickTop="1">
      <c r="D717" s="15"/>
      <c r="E717" s="16"/>
      <c r="F717" s="16"/>
      <c r="G717" s="16"/>
      <c r="H717" s="16"/>
      <c r="I717" s="16"/>
      <c r="J717" s="16"/>
      <c r="K717" s="16"/>
      <c r="L717" s="17"/>
    </row>
    <row r="718" spans="1:16">
      <c r="A718" s="14" t="s">
        <v>1823</v>
      </c>
      <c r="D718" s="18"/>
      <c r="E718" s="23" t="s">
        <v>95</v>
      </c>
      <c r="F718" s="24" t="str">
        <f>VLOOKUP($A718,DATRUB,3,FALSE)</f>
        <v>RUBRO III:</v>
      </c>
      <c r="G718" s="599" t="str">
        <f>VLOOKUP($A718,DATRUB,4,FALSE)</f>
        <v xml:space="preserve"> ESTRUCTURA RESISTENTE</v>
      </c>
      <c r="H718" s="599"/>
      <c r="I718" s="599"/>
      <c r="J718" s="599"/>
      <c r="K718" s="599"/>
      <c r="L718" s="20"/>
    </row>
    <row r="719" spans="1:16" ht="35.1" customHeight="1">
      <c r="A719" s="14" t="s">
        <v>1832</v>
      </c>
      <c r="D719" s="18"/>
      <c r="E719" s="23" t="s">
        <v>96</v>
      </c>
      <c r="F719" s="399">
        <f>VLOOKUP($A719,DATRUB,3,FALSE)</f>
        <v>3.9</v>
      </c>
      <c r="G719" s="599" t="str">
        <f>VLOOKUP($A719,DATRUB,4,FALSE)</f>
        <v>Losa Maciza de Hormigon visto</v>
      </c>
      <c r="H719" s="599"/>
      <c r="I719" s="599"/>
      <c r="J719" s="599"/>
      <c r="K719" s="599"/>
      <c r="L719" s="20"/>
    </row>
    <row r="720" spans="1:16" ht="35.1" customHeight="1">
      <c r="A720" s="14" t="s">
        <v>1832</v>
      </c>
      <c r="D720" s="18"/>
      <c r="E720" s="23" t="s">
        <v>97</v>
      </c>
      <c r="F720" s="399">
        <f>VLOOKUP($A720,DATRUB,3,FALSE)</f>
        <v>3.9</v>
      </c>
      <c r="G720" s="599" t="str">
        <f>VLOOKUP($A720,DATRUB,4,FALSE)</f>
        <v>Losa Maciza de Hormigon visto</v>
      </c>
      <c r="H720" s="599"/>
      <c r="I720" s="599"/>
      <c r="J720" s="599"/>
      <c r="K720" s="599"/>
      <c r="L720" s="20"/>
    </row>
    <row r="721" spans="1:18">
      <c r="D721" s="18"/>
      <c r="E721" s="23" t="s">
        <v>98</v>
      </c>
      <c r="F721" s="24" t="str">
        <f>VLOOKUP($A720,DATRUB,5,FALSE)</f>
        <v>m3</v>
      </c>
      <c r="G721" s="600"/>
      <c r="H721" s="600"/>
      <c r="I721" s="600"/>
      <c r="J721" s="600"/>
      <c r="K721" s="600"/>
      <c r="L721" s="20"/>
    </row>
    <row r="722" spans="1:18">
      <c r="D722" s="18"/>
      <c r="E722" s="24" t="s">
        <v>1158</v>
      </c>
      <c r="F722" s="25" t="s">
        <v>1250</v>
      </c>
      <c r="G722" s="24" t="s">
        <v>24</v>
      </c>
      <c r="H722" s="24" t="s">
        <v>25</v>
      </c>
      <c r="I722" s="24" t="s">
        <v>24</v>
      </c>
      <c r="J722" s="24" t="s">
        <v>2298</v>
      </c>
      <c r="K722" s="24" t="s">
        <v>24</v>
      </c>
      <c r="L722" s="20"/>
    </row>
    <row r="723" spans="1:18">
      <c r="D723" s="18"/>
      <c r="E723" s="593" t="s">
        <v>99</v>
      </c>
      <c r="F723" s="594"/>
      <c r="G723" s="594"/>
      <c r="H723" s="594"/>
      <c r="I723" s="594"/>
      <c r="J723" s="594"/>
      <c r="K723" s="595"/>
      <c r="L723" s="20"/>
    </row>
    <row r="724" spans="1:18">
      <c r="A724" s="14" t="s">
        <v>2368</v>
      </c>
      <c r="D724" s="18">
        <v>1</v>
      </c>
      <c r="E724" s="355" t="str">
        <f t="shared" ref="E724:E743" si="135">VLOOKUP($A724,MATMO,2,FALSE)</f>
        <v>Alambre N° 14</v>
      </c>
      <c r="F724" s="400">
        <v>4.5</v>
      </c>
      <c r="G724" s="357" t="str">
        <f t="shared" ref="G724:G743" si="136">VLOOKUP($A724,MATMO,3,FALSE)</f>
        <v>kg</v>
      </c>
      <c r="H724" s="358">
        <f t="shared" ref="H724:H743" si="137">VLOOKUP($A724,MATMO,4,FALSE)*$Q$6</f>
        <v>24.334</v>
      </c>
      <c r="I724" s="359" t="str">
        <f t="shared" ref="I724:I743" si="138">+G724</f>
        <v>kg</v>
      </c>
      <c r="J724" s="361">
        <f>+H724*F724</f>
        <v>109.503</v>
      </c>
      <c r="K724" s="360" t="s">
        <v>2299</v>
      </c>
      <c r="L724" s="20"/>
      <c r="M724" s="14" t="s">
        <v>2005</v>
      </c>
    </row>
    <row r="725" spans="1:18">
      <c r="A725" s="14" t="s">
        <v>2369</v>
      </c>
      <c r="D725" s="18">
        <v>2</v>
      </c>
      <c r="E725" s="26" t="str">
        <f t="shared" si="135"/>
        <v>Hierro</v>
      </c>
      <c r="F725" s="400">
        <v>70</v>
      </c>
      <c r="G725" s="307" t="str">
        <f t="shared" si="136"/>
        <v>kg</v>
      </c>
      <c r="H725" s="351">
        <f t="shared" si="137"/>
        <v>15.588335288624991</v>
      </c>
      <c r="I725" s="354" t="str">
        <f t="shared" si="138"/>
        <v>kg</v>
      </c>
      <c r="J725" s="350">
        <f t="shared" ref="J725:J743" si="139">+H725*F725</f>
        <v>1091.1834702037495</v>
      </c>
      <c r="K725" s="360" t="s">
        <v>2299</v>
      </c>
      <c r="L725" s="20"/>
    </row>
    <row r="726" spans="1:18">
      <c r="A726" s="14" t="s">
        <v>2370</v>
      </c>
      <c r="D726" s="18">
        <v>3</v>
      </c>
      <c r="E726" s="26" t="str">
        <f t="shared" si="135"/>
        <v>Encofrado</v>
      </c>
      <c r="F726" s="400">
        <v>5</v>
      </c>
      <c r="G726" s="307" t="str">
        <f t="shared" si="136"/>
        <v>m²</v>
      </c>
      <c r="H726" s="351">
        <f t="shared" si="137"/>
        <v>380</v>
      </c>
      <c r="I726" s="354" t="str">
        <f t="shared" si="138"/>
        <v>m²</v>
      </c>
      <c r="J726" s="350">
        <f t="shared" si="139"/>
        <v>1900</v>
      </c>
      <c r="K726" s="360" t="s">
        <v>2299</v>
      </c>
      <c r="L726" s="20"/>
      <c r="N726" s="14">
        <f>838/2.88</f>
        <v>290.97222222222223</v>
      </c>
      <c r="O726" s="29">
        <f>+H726-N726</f>
        <v>89.027777777777771</v>
      </c>
    </row>
    <row r="727" spans="1:18">
      <c r="A727" s="14" t="s">
        <v>2371</v>
      </c>
      <c r="D727" s="18">
        <v>4</v>
      </c>
      <c r="E727" s="26" t="str">
        <f t="shared" si="135"/>
        <v>Clavos 2"</v>
      </c>
      <c r="F727" s="400">
        <v>0.6</v>
      </c>
      <c r="G727" s="307" t="str">
        <f t="shared" si="136"/>
        <v>kg</v>
      </c>
      <c r="H727" s="351">
        <f t="shared" si="137"/>
        <v>20.83</v>
      </c>
      <c r="I727" s="354" t="str">
        <f t="shared" si="138"/>
        <v>kg</v>
      </c>
      <c r="J727" s="350">
        <f t="shared" si="139"/>
        <v>12.497999999999999</v>
      </c>
      <c r="K727" s="360" t="s">
        <v>2299</v>
      </c>
      <c r="L727" s="20"/>
    </row>
    <row r="728" spans="1:18">
      <c r="A728" s="14" t="s">
        <v>2372</v>
      </c>
      <c r="D728" s="18">
        <v>5</v>
      </c>
      <c r="E728" s="26" t="str">
        <f t="shared" si="135"/>
        <v xml:space="preserve">Maderas Accesorios </v>
      </c>
      <c r="F728" s="400">
        <v>5</v>
      </c>
      <c r="G728" s="307" t="str">
        <f t="shared" si="136"/>
        <v>gl</v>
      </c>
      <c r="H728" s="351">
        <f t="shared" si="137"/>
        <v>5</v>
      </c>
      <c r="I728" s="354" t="str">
        <f t="shared" si="138"/>
        <v>gl</v>
      </c>
      <c r="J728" s="350">
        <f t="shared" si="139"/>
        <v>25</v>
      </c>
      <c r="K728" s="360" t="s">
        <v>2299</v>
      </c>
      <c r="L728" s="20"/>
    </row>
    <row r="729" spans="1:18">
      <c r="A729" s="14" t="s">
        <v>2373</v>
      </c>
      <c r="D729" s="18">
        <v>6</v>
      </c>
      <c r="E729" s="26" t="str">
        <f t="shared" si="135"/>
        <v>Puntales</v>
      </c>
      <c r="F729" s="400">
        <v>2</v>
      </c>
      <c r="G729" s="307" t="str">
        <f t="shared" si="136"/>
        <v>un</v>
      </c>
      <c r="H729" s="351">
        <f t="shared" si="137"/>
        <v>72</v>
      </c>
      <c r="I729" s="354" t="str">
        <f t="shared" si="138"/>
        <v>un</v>
      </c>
      <c r="J729" s="350">
        <f t="shared" si="139"/>
        <v>144</v>
      </c>
      <c r="K729" s="360" t="s">
        <v>2299</v>
      </c>
      <c r="L729" s="20"/>
    </row>
    <row r="730" spans="1:18">
      <c r="A730" s="14" t="s">
        <v>266</v>
      </c>
      <c r="D730" s="18">
        <v>7</v>
      </c>
      <c r="E730" s="26" t="str">
        <f t="shared" si="135"/>
        <v>Hormigón Elaborado 5</v>
      </c>
      <c r="F730" s="400">
        <v>1.1000000000000001</v>
      </c>
      <c r="G730" s="307" t="str">
        <f t="shared" si="136"/>
        <v>m³</v>
      </c>
      <c r="H730" s="351">
        <f t="shared" si="137"/>
        <v>1582</v>
      </c>
      <c r="I730" s="354" t="str">
        <f t="shared" si="138"/>
        <v>m³</v>
      </c>
      <c r="J730" s="350">
        <f t="shared" si="139"/>
        <v>1740.2</v>
      </c>
      <c r="K730" s="360" t="s">
        <v>2299</v>
      </c>
      <c r="L730" s="20"/>
    </row>
    <row r="731" spans="1:18">
      <c r="A731" s="14" t="s">
        <v>31</v>
      </c>
      <c r="D731" s="18">
        <v>8</v>
      </c>
      <c r="E731" s="26" t="str">
        <f t="shared" si="135"/>
        <v>-</v>
      </c>
      <c r="F731" s="311"/>
      <c r="G731" s="307" t="str">
        <f t="shared" si="136"/>
        <v>-</v>
      </c>
      <c r="H731" s="351">
        <f t="shared" si="137"/>
        <v>0</v>
      </c>
      <c r="I731" s="537" t="str">
        <f t="shared" si="138"/>
        <v>-</v>
      </c>
      <c r="J731" s="538">
        <f t="shared" si="139"/>
        <v>0</v>
      </c>
      <c r="K731" s="539" t="s">
        <v>2299</v>
      </c>
      <c r="L731" s="20"/>
    </row>
    <row r="732" spans="1:18">
      <c r="A732" s="14" t="s">
        <v>31</v>
      </c>
      <c r="D732" s="18">
        <v>9</v>
      </c>
      <c r="E732" s="26" t="str">
        <f t="shared" si="135"/>
        <v>-</v>
      </c>
      <c r="F732" s="311"/>
      <c r="G732" s="307" t="str">
        <f t="shared" si="136"/>
        <v>-</v>
      </c>
      <c r="H732" s="351">
        <f t="shared" si="137"/>
        <v>0</v>
      </c>
      <c r="I732" s="537" t="str">
        <f t="shared" si="138"/>
        <v>-</v>
      </c>
      <c r="J732" s="538">
        <f t="shared" si="139"/>
        <v>0</v>
      </c>
      <c r="K732" s="539" t="s">
        <v>2299</v>
      </c>
      <c r="L732" s="20"/>
    </row>
    <row r="733" spans="1:18">
      <c r="A733" s="14" t="s">
        <v>31</v>
      </c>
      <c r="D733" s="18">
        <v>10</v>
      </c>
      <c r="E733" s="26" t="str">
        <f t="shared" si="135"/>
        <v>-</v>
      </c>
      <c r="F733" s="311"/>
      <c r="G733" s="307" t="str">
        <f t="shared" si="136"/>
        <v>-</v>
      </c>
      <c r="H733" s="351">
        <f t="shared" si="137"/>
        <v>0</v>
      </c>
      <c r="I733" s="537" t="str">
        <f t="shared" si="138"/>
        <v>-</v>
      </c>
      <c r="J733" s="538">
        <f t="shared" si="139"/>
        <v>0</v>
      </c>
      <c r="K733" s="539" t="s">
        <v>2299</v>
      </c>
      <c r="L733" s="20"/>
    </row>
    <row r="734" spans="1:18">
      <c r="A734" s="14" t="s">
        <v>31</v>
      </c>
      <c r="D734" s="18">
        <v>11</v>
      </c>
      <c r="E734" s="26" t="str">
        <f t="shared" si="135"/>
        <v>-</v>
      </c>
      <c r="F734" s="311"/>
      <c r="G734" s="307" t="str">
        <f t="shared" si="136"/>
        <v>-</v>
      </c>
      <c r="H734" s="351">
        <f t="shared" si="137"/>
        <v>0</v>
      </c>
      <c r="I734" s="537" t="str">
        <f t="shared" si="138"/>
        <v>-</v>
      </c>
      <c r="J734" s="538">
        <f t="shared" si="139"/>
        <v>0</v>
      </c>
      <c r="K734" s="539" t="s">
        <v>2299</v>
      </c>
      <c r="L734" s="20"/>
    </row>
    <row r="735" spans="1:18">
      <c r="A735" s="14" t="s">
        <v>31</v>
      </c>
      <c r="D735" s="18">
        <v>12</v>
      </c>
      <c r="E735" s="26" t="str">
        <f t="shared" si="135"/>
        <v>-</v>
      </c>
      <c r="F735" s="311"/>
      <c r="G735" s="307" t="str">
        <f t="shared" si="136"/>
        <v>-</v>
      </c>
      <c r="H735" s="352">
        <f t="shared" si="137"/>
        <v>0</v>
      </c>
      <c r="I735" s="537" t="str">
        <f t="shared" si="138"/>
        <v>-</v>
      </c>
      <c r="J735" s="538">
        <f t="shared" si="139"/>
        <v>0</v>
      </c>
      <c r="K735" s="539" t="s">
        <v>2299</v>
      </c>
      <c r="L735" s="20"/>
      <c r="P735" s="14" t="s">
        <v>2531</v>
      </c>
      <c r="R735" s="29">
        <v>250</v>
      </c>
    </row>
    <row r="736" spans="1:18">
      <c r="A736" s="14" t="s">
        <v>31</v>
      </c>
      <c r="D736" s="18">
        <v>13</v>
      </c>
      <c r="E736" s="26" t="str">
        <f t="shared" si="135"/>
        <v>-</v>
      </c>
      <c r="F736" s="311"/>
      <c r="G736" s="307" t="str">
        <f t="shared" si="136"/>
        <v>-</v>
      </c>
      <c r="H736" s="352">
        <f t="shared" si="137"/>
        <v>0</v>
      </c>
      <c r="I736" s="537" t="str">
        <f t="shared" si="138"/>
        <v>-</v>
      </c>
      <c r="J736" s="538">
        <f t="shared" si="139"/>
        <v>0</v>
      </c>
      <c r="K736" s="539" t="s">
        <v>2299</v>
      </c>
      <c r="L736" s="20"/>
      <c r="P736" s="14" t="s">
        <v>2531</v>
      </c>
      <c r="R736" s="29">
        <v>250</v>
      </c>
    </row>
    <row r="737" spans="1:19">
      <c r="A737" s="14" t="s">
        <v>31</v>
      </c>
      <c r="D737" s="18">
        <v>14</v>
      </c>
      <c r="E737" s="26" t="str">
        <f t="shared" si="135"/>
        <v>-</v>
      </c>
      <c r="F737" s="311"/>
      <c r="G737" s="307" t="str">
        <f t="shared" si="136"/>
        <v>-</v>
      </c>
      <c r="H737" s="352">
        <f t="shared" si="137"/>
        <v>0</v>
      </c>
      <c r="I737" s="537" t="str">
        <f t="shared" si="138"/>
        <v>-</v>
      </c>
      <c r="J737" s="538">
        <f t="shared" si="139"/>
        <v>0</v>
      </c>
      <c r="K737" s="539" t="s">
        <v>2299</v>
      </c>
      <c r="L737" s="20"/>
      <c r="P737" s="14" t="s">
        <v>2532</v>
      </c>
      <c r="R737" s="29">
        <v>150</v>
      </c>
    </row>
    <row r="738" spans="1:19">
      <c r="A738" s="14" t="s">
        <v>31</v>
      </c>
      <c r="D738" s="18">
        <v>15</v>
      </c>
      <c r="E738" s="26" t="str">
        <f t="shared" si="135"/>
        <v>-</v>
      </c>
      <c r="F738" s="311"/>
      <c r="G738" s="307" t="str">
        <f t="shared" si="136"/>
        <v>-</v>
      </c>
      <c r="H738" s="352">
        <f t="shared" si="137"/>
        <v>0</v>
      </c>
      <c r="I738" s="537" t="str">
        <f t="shared" si="138"/>
        <v>-</v>
      </c>
      <c r="J738" s="538">
        <f t="shared" si="139"/>
        <v>0</v>
      </c>
      <c r="K738" s="539" t="s">
        <v>2299</v>
      </c>
      <c r="L738" s="20"/>
      <c r="R738" s="29">
        <v>150</v>
      </c>
    </row>
    <row r="739" spans="1:19">
      <c r="A739" s="14" t="s">
        <v>31</v>
      </c>
      <c r="D739" s="18">
        <v>16</v>
      </c>
      <c r="E739" s="26" t="str">
        <f t="shared" si="135"/>
        <v>-</v>
      </c>
      <c r="F739" s="311"/>
      <c r="G739" s="307" t="str">
        <f t="shared" si="136"/>
        <v>-</v>
      </c>
      <c r="H739" s="352">
        <f t="shared" si="137"/>
        <v>0</v>
      </c>
      <c r="I739" s="537" t="str">
        <f t="shared" si="138"/>
        <v>-</v>
      </c>
      <c r="J739" s="538">
        <f t="shared" si="139"/>
        <v>0</v>
      </c>
      <c r="K739" s="539" t="s">
        <v>2299</v>
      </c>
      <c r="L739" s="20"/>
      <c r="R739" s="29">
        <f>SUM(R735:R738)</f>
        <v>800</v>
      </c>
    </row>
    <row r="740" spans="1:19">
      <c r="A740" s="14" t="s">
        <v>31</v>
      </c>
      <c r="D740" s="18">
        <v>17</v>
      </c>
      <c r="E740" s="26" t="str">
        <f t="shared" si="135"/>
        <v>-</v>
      </c>
      <c r="F740" s="311"/>
      <c r="G740" s="307" t="str">
        <f t="shared" si="136"/>
        <v>-</v>
      </c>
      <c r="H740" s="352">
        <f t="shared" si="137"/>
        <v>0</v>
      </c>
      <c r="I740" s="537" t="str">
        <f t="shared" si="138"/>
        <v>-</v>
      </c>
      <c r="J740" s="538">
        <f t="shared" si="139"/>
        <v>0</v>
      </c>
      <c r="K740" s="539" t="s">
        <v>2299</v>
      </c>
      <c r="L740" s="20"/>
      <c r="P740" s="14" t="s">
        <v>2533</v>
      </c>
      <c r="R740" s="29">
        <v>200</v>
      </c>
    </row>
    <row r="741" spans="1:19">
      <c r="A741" s="14" t="s">
        <v>31</v>
      </c>
      <c r="D741" s="18">
        <v>18</v>
      </c>
      <c r="E741" s="26" t="str">
        <f t="shared" si="135"/>
        <v>-</v>
      </c>
      <c r="F741" s="311"/>
      <c r="G741" s="307" t="str">
        <f t="shared" si="136"/>
        <v>-</v>
      </c>
      <c r="H741" s="352">
        <f t="shared" si="137"/>
        <v>0</v>
      </c>
      <c r="I741" s="537" t="str">
        <f t="shared" si="138"/>
        <v>-</v>
      </c>
      <c r="J741" s="538">
        <f t="shared" si="139"/>
        <v>0</v>
      </c>
      <c r="K741" s="539" t="s">
        <v>2299</v>
      </c>
      <c r="L741" s="20"/>
      <c r="R741" s="29">
        <f>SUM(R739:R740)</f>
        <v>1000</v>
      </c>
    </row>
    <row r="742" spans="1:19">
      <c r="A742" s="14" t="s">
        <v>31</v>
      </c>
      <c r="D742" s="18">
        <v>19</v>
      </c>
      <c r="E742" s="26" t="str">
        <f t="shared" si="135"/>
        <v>-</v>
      </c>
      <c r="F742" s="311"/>
      <c r="G742" s="307" t="str">
        <f t="shared" si="136"/>
        <v>-</v>
      </c>
      <c r="H742" s="352">
        <f t="shared" si="137"/>
        <v>0</v>
      </c>
      <c r="I742" s="537" t="str">
        <f t="shared" si="138"/>
        <v>-</v>
      </c>
      <c r="J742" s="538">
        <f t="shared" si="139"/>
        <v>0</v>
      </c>
      <c r="K742" s="539" t="s">
        <v>2299</v>
      </c>
      <c r="L742" s="20"/>
    </row>
    <row r="743" spans="1:19">
      <c r="A743" s="14" t="s">
        <v>31</v>
      </c>
      <c r="D743" s="18">
        <v>20</v>
      </c>
      <c r="E743" s="26" t="str">
        <f t="shared" si="135"/>
        <v>-</v>
      </c>
      <c r="F743" s="311"/>
      <c r="G743" s="307" t="str">
        <f t="shared" si="136"/>
        <v>-</v>
      </c>
      <c r="H743" s="352">
        <f t="shared" si="137"/>
        <v>0</v>
      </c>
      <c r="I743" s="537" t="str">
        <f t="shared" si="138"/>
        <v>-</v>
      </c>
      <c r="J743" s="541">
        <f t="shared" si="139"/>
        <v>0</v>
      </c>
      <c r="K743" s="539" t="s">
        <v>2299</v>
      </c>
      <c r="L743" s="20"/>
    </row>
    <row r="744" spans="1:19">
      <c r="A744" s="14">
        <f>A711+1</f>
        <v>16</v>
      </c>
      <c r="B744" s="14" t="str">
        <f>"MA" &amp; TEXT(A744,"##000")</f>
        <v>MA016</v>
      </c>
      <c r="D744" s="18"/>
      <c r="E744" s="591" t="s">
        <v>2302</v>
      </c>
      <c r="F744" s="592"/>
      <c r="G744" s="592"/>
      <c r="H744" s="592"/>
      <c r="I744" s="327"/>
      <c r="J744" s="353">
        <f>SUM(J724:J743)</f>
        <v>5022.3844702037495</v>
      </c>
      <c r="K744" s="365" t="str">
        <f>+F721</f>
        <v>m3</v>
      </c>
      <c r="L744" s="20"/>
      <c r="O744" s="27" t="s">
        <v>1525</v>
      </c>
      <c r="P744" s="110">
        <v>350</v>
      </c>
    </row>
    <row r="745" spans="1:19">
      <c r="D745" s="18"/>
      <c r="E745" s="593" t="s">
        <v>100</v>
      </c>
      <c r="F745" s="594"/>
      <c r="G745" s="594"/>
      <c r="H745" s="594"/>
      <c r="I745" s="594"/>
      <c r="J745" s="595"/>
      <c r="K745" s="347"/>
      <c r="L745" s="20"/>
      <c r="O745" s="27" t="s">
        <v>1524</v>
      </c>
      <c r="P745" s="110">
        <f>+F725*15</f>
        <v>1050</v>
      </c>
    </row>
    <row r="746" spans="1:19">
      <c r="A746" s="14" t="s">
        <v>84</v>
      </c>
      <c r="D746" s="18">
        <v>1</v>
      </c>
      <c r="E746" s="26" t="str">
        <f>VLOOKUP($A746,MATMO,2,FALSE)</f>
        <v>Oficial</v>
      </c>
      <c r="F746" s="311">
        <v>26.5</v>
      </c>
      <c r="G746" s="307" t="str">
        <f>VLOOKUP($A746,MATMO,3,FALSE)</f>
        <v>hs</v>
      </c>
      <c r="H746" s="110">
        <f>VLOOKUP($A746,MATMO,4,FALSE)*$Q$7</f>
        <v>55.38</v>
      </c>
      <c r="I746" s="354" t="str">
        <f t="shared" ref="I746:I750" si="140">+G746</f>
        <v>hs</v>
      </c>
      <c r="J746" s="350">
        <f t="shared" ref="J746:J750" si="141">+H746*F746</f>
        <v>1467.5700000000002</v>
      </c>
      <c r="K746" s="360" t="s">
        <v>2299</v>
      </c>
      <c r="L746" s="20"/>
      <c r="M746" s="14" t="s">
        <v>2006</v>
      </c>
      <c r="O746" s="27" t="s">
        <v>1526</v>
      </c>
      <c r="P746" s="110">
        <v>500</v>
      </c>
    </row>
    <row r="747" spans="1:19">
      <c r="A747" s="14" t="s">
        <v>85</v>
      </c>
      <c r="D747" s="18">
        <v>2</v>
      </c>
      <c r="E747" s="26" t="str">
        <f>VLOOKUP($A747,MATMO,2,FALSE)</f>
        <v>Ayudante</v>
      </c>
      <c r="F747" s="311">
        <v>8</v>
      </c>
      <c r="G747" s="307" t="str">
        <f>VLOOKUP($A747,MATMO,3,FALSE)</f>
        <v>hs</v>
      </c>
      <c r="H747" s="110">
        <f>VLOOKUP($A747,MATMO,4,FALSE)*$Q$7</f>
        <v>46.87</v>
      </c>
      <c r="I747" s="354" t="str">
        <f t="shared" si="140"/>
        <v>hs</v>
      </c>
      <c r="J747" s="350">
        <f t="shared" si="141"/>
        <v>374.96</v>
      </c>
      <c r="K747" s="360" t="s">
        <v>2299</v>
      </c>
      <c r="L747" s="20"/>
      <c r="O747" s="27" t="s">
        <v>1527</v>
      </c>
      <c r="P747" s="110">
        <v>0</v>
      </c>
    </row>
    <row r="748" spans="1:19">
      <c r="A748" s="14" t="s">
        <v>2311</v>
      </c>
      <c r="D748" s="18">
        <v>3</v>
      </c>
      <c r="E748" s="26" t="str">
        <f>VLOOKUP($A748,MATMO,2,FALSE)</f>
        <v>Cargas Sociales Oficial</v>
      </c>
      <c r="F748" s="311">
        <f>+F746</f>
        <v>26.5</v>
      </c>
      <c r="G748" s="307" t="str">
        <f>VLOOKUP($A748,MATMO,3,FALSE)</f>
        <v>hs</v>
      </c>
      <c r="H748" s="110">
        <f>VLOOKUP($A748,MATMO,4,FALSE)*$Q$7</f>
        <v>52.742782499999997</v>
      </c>
      <c r="I748" s="354" t="str">
        <f t="shared" si="140"/>
        <v>hs</v>
      </c>
      <c r="J748" s="350">
        <f t="shared" si="141"/>
        <v>1397.6837362499998</v>
      </c>
      <c r="K748" s="360" t="s">
        <v>2299</v>
      </c>
      <c r="L748" s="20"/>
      <c r="O748" s="27"/>
      <c r="P748" s="110">
        <v>0</v>
      </c>
    </row>
    <row r="749" spans="1:19">
      <c r="A749" s="14" t="s">
        <v>2312</v>
      </c>
      <c r="D749" s="18">
        <v>4</v>
      </c>
      <c r="E749" s="26" t="str">
        <f>VLOOKUP($A749,MATMO,2,FALSE)</f>
        <v>Cargas Sociales Ayudante</v>
      </c>
      <c r="F749" s="311">
        <f>+F747</f>
        <v>8</v>
      </c>
      <c r="G749" s="307" t="str">
        <f>VLOOKUP($A749,MATMO,3,FALSE)</f>
        <v>hs</v>
      </c>
      <c r="H749" s="110">
        <f>VLOOKUP($A749,MATMO,4,FALSE)*$Q$7</f>
        <v>45.108248750000001</v>
      </c>
      <c r="I749" s="354" t="str">
        <f t="shared" si="140"/>
        <v>hs</v>
      </c>
      <c r="J749" s="350">
        <f t="shared" si="141"/>
        <v>360.86599000000001</v>
      </c>
      <c r="K749" s="360" t="s">
        <v>2299</v>
      </c>
      <c r="L749" s="20"/>
      <c r="O749" s="27"/>
      <c r="P749" s="110">
        <v>0</v>
      </c>
    </row>
    <row r="750" spans="1:19" ht="16.5" thickBot="1">
      <c r="A750" s="14" t="s">
        <v>83</v>
      </c>
      <c r="D750" s="18">
        <v>5</v>
      </c>
      <c r="E750" s="26" t="str">
        <f>VLOOKUP($A750,MATMO,2,FALSE)</f>
        <v>-</v>
      </c>
      <c r="F750" s="311"/>
      <c r="G750" s="307" t="str">
        <f>VLOOKUP($A750,MATMO,3,FALSE)</f>
        <v>-</v>
      </c>
      <c r="H750" s="110">
        <f>VLOOKUP($A750,MATMO,4,FALSE)*$Q$7</f>
        <v>0</v>
      </c>
      <c r="I750" s="537" t="str">
        <f t="shared" si="140"/>
        <v>-</v>
      </c>
      <c r="J750" s="538">
        <f t="shared" si="141"/>
        <v>0</v>
      </c>
      <c r="K750" s="539" t="s">
        <v>2299</v>
      </c>
      <c r="L750" s="20"/>
      <c r="O750" s="27"/>
      <c r="P750" s="110">
        <v>0</v>
      </c>
      <c r="R750" s="29" t="s">
        <v>2307</v>
      </c>
    </row>
    <row r="751" spans="1:19" ht="16.5" thickBot="1">
      <c r="A751" s="14">
        <f>A711+1</f>
        <v>16</v>
      </c>
      <c r="B751" s="14" t="str">
        <f>"MO" &amp; TEXT(A751,"##000")</f>
        <v>MO016</v>
      </c>
      <c r="D751" s="18"/>
      <c r="E751" s="591" t="s">
        <v>2301</v>
      </c>
      <c r="F751" s="592"/>
      <c r="G751" s="592"/>
      <c r="H751" s="592"/>
      <c r="I751" s="327"/>
      <c r="J751" s="362">
        <f>SUM(J746:J750)</f>
        <v>3601.07972625</v>
      </c>
      <c r="K751" s="365" t="str">
        <f>+G746</f>
        <v>hs</v>
      </c>
      <c r="L751" s="20"/>
      <c r="N751" s="111">
        <f>+P751+R751</f>
        <v>3610</v>
      </c>
      <c r="O751" s="27"/>
      <c r="P751" s="27">
        <f>SUM(P744:P750)</f>
        <v>1900</v>
      </c>
      <c r="Q751" s="26">
        <v>0.9</v>
      </c>
      <c r="R751" s="287">
        <f>+Q751*P751</f>
        <v>1710</v>
      </c>
      <c r="S751" s="288"/>
    </row>
    <row r="752" spans="1:19">
      <c r="D752" s="18"/>
      <c r="E752" s="593" t="s">
        <v>101</v>
      </c>
      <c r="F752" s="594"/>
      <c r="G752" s="594"/>
      <c r="H752" s="594"/>
      <c r="I752" s="594"/>
      <c r="J752" s="595"/>
      <c r="K752" s="347"/>
      <c r="L752" s="20"/>
      <c r="P752" s="14" t="s">
        <v>2308</v>
      </c>
    </row>
    <row r="753" spans="1:15">
      <c r="A753" s="14" t="s">
        <v>119</v>
      </c>
      <c r="D753" s="18">
        <v>1</v>
      </c>
      <c r="E753" s="26" t="str">
        <f>VLOOKUP($A753,MATMO,2,FALSE)</f>
        <v>Herramientas de Mano</v>
      </c>
      <c r="F753" s="311">
        <v>1</v>
      </c>
      <c r="G753" s="307" t="str">
        <f>VLOOKUP($A753,MATMO,3,FALSE)</f>
        <v>gl</v>
      </c>
      <c r="H753" s="110">
        <f>+(J744+J751)*$Q$5</f>
        <v>344.93856785815001</v>
      </c>
      <c r="I753" s="345" t="str">
        <f>+G753</f>
        <v>gl</v>
      </c>
      <c r="J753" s="350">
        <f t="shared" ref="J753:J757" si="142">+H753*F753</f>
        <v>344.93856785815001</v>
      </c>
      <c r="K753" s="360" t="s">
        <v>2299</v>
      </c>
      <c r="L753" s="20"/>
      <c r="M753" s="14" t="s">
        <v>2004</v>
      </c>
    </row>
    <row r="754" spans="1:15">
      <c r="A754" s="14" t="s">
        <v>269</v>
      </c>
      <c r="D754" s="18">
        <v>2</v>
      </c>
      <c r="E754" s="26" t="str">
        <f>VLOOKUP($A754,MATMO,2,FALSE)</f>
        <v>Servicio de Bomba Telescópica</v>
      </c>
      <c r="F754" s="311">
        <v>0.05</v>
      </c>
      <c r="G754" s="307" t="str">
        <f>VLOOKUP($A754,MATMO,3,FALSE)</f>
        <v>un</v>
      </c>
      <c r="H754" s="110">
        <f>VLOOKUP($A754,MATMO,4,FALSE)*$Q$6</f>
        <v>8000</v>
      </c>
      <c r="I754" s="345" t="str">
        <f t="shared" ref="I754:I757" si="143">+G754</f>
        <v>un</v>
      </c>
      <c r="J754" s="350">
        <f t="shared" si="142"/>
        <v>400</v>
      </c>
      <c r="K754" s="360" t="s">
        <v>2299</v>
      </c>
      <c r="L754" s="20"/>
    </row>
    <row r="755" spans="1:15">
      <c r="A755" s="14" t="s">
        <v>118</v>
      </c>
      <c r="D755" s="18">
        <v>3</v>
      </c>
      <c r="E755" s="26" t="str">
        <f>VLOOKUP($A755,MATMO,2,FALSE)</f>
        <v>-</v>
      </c>
      <c r="F755" s="311"/>
      <c r="G755" s="307" t="str">
        <f>VLOOKUP($A755,MATMO,3,FALSE)</f>
        <v>-</v>
      </c>
      <c r="H755" s="110">
        <f>VLOOKUP($A755,MATMO,4,FALSE)*$Q$6</f>
        <v>0</v>
      </c>
      <c r="I755" s="543" t="str">
        <f t="shared" si="143"/>
        <v>-</v>
      </c>
      <c r="J755" s="538">
        <f t="shared" si="142"/>
        <v>0</v>
      </c>
      <c r="K755" s="539" t="s">
        <v>2299</v>
      </c>
      <c r="L755" s="20"/>
    </row>
    <row r="756" spans="1:15">
      <c r="A756" s="14" t="s">
        <v>118</v>
      </c>
      <c r="D756" s="18">
        <v>4</v>
      </c>
      <c r="E756" s="26" t="str">
        <f>VLOOKUP($A756,MATMO,2,FALSE)</f>
        <v>-</v>
      </c>
      <c r="F756" s="311"/>
      <c r="G756" s="307" t="str">
        <f>VLOOKUP($A756,MATMO,3,FALSE)</f>
        <v>-</v>
      </c>
      <c r="H756" s="110">
        <f>VLOOKUP($A756,MATMO,4,FALSE)*$Q$6</f>
        <v>0</v>
      </c>
      <c r="I756" s="543" t="str">
        <f t="shared" si="143"/>
        <v>-</v>
      </c>
      <c r="J756" s="538">
        <f t="shared" si="142"/>
        <v>0</v>
      </c>
      <c r="K756" s="539" t="s">
        <v>2299</v>
      </c>
      <c r="L756" s="20"/>
    </row>
    <row r="757" spans="1:15">
      <c r="A757" s="14" t="s">
        <v>118</v>
      </c>
      <c r="D757" s="18">
        <v>5</v>
      </c>
      <c r="E757" s="26" t="str">
        <f>VLOOKUP($A757,MATMO,2,FALSE)</f>
        <v>-</v>
      </c>
      <c r="F757" s="311"/>
      <c r="G757" s="307" t="str">
        <f>VLOOKUP($A757,MATMO,3,FALSE)</f>
        <v>-</v>
      </c>
      <c r="H757" s="110">
        <f>VLOOKUP($A757,MATMO,4,FALSE)*$Q$6</f>
        <v>0</v>
      </c>
      <c r="I757" s="543" t="str">
        <f t="shared" si="143"/>
        <v>-</v>
      </c>
      <c r="J757" s="538">
        <f t="shared" si="142"/>
        <v>0</v>
      </c>
      <c r="K757" s="539" t="s">
        <v>2299</v>
      </c>
      <c r="L757" s="20"/>
    </row>
    <row r="758" spans="1:15">
      <c r="A758" s="14">
        <f>A711+1</f>
        <v>16</v>
      </c>
      <c r="B758" s="14" t="str">
        <f>"E" &amp; TEXT(A758,"##000")</f>
        <v>E016</v>
      </c>
      <c r="D758" s="18"/>
      <c r="E758" s="591" t="s">
        <v>2300</v>
      </c>
      <c r="F758" s="592"/>
      <c r="G758" s="592"/>
      <c r="H758" s="592"/>
      <c r="I758" s="327"/>
      <c r="J758" s="362">
        <f>SUM(J753:J757)</f>
        <v>744.93856785815001</v>
      </c>
      <c r="K758" s="365" t="s">
        <v>116</v>
      </c>
      <c r="L758" s="20"/>
      <c r="O758" s="654"/>
    </row>
    <row r="759" spans="1:15">
      <c r="D759" s="18"/>
      <c r="E759" s="596"/>
      <c r="F759" s="597"/>
      <c r="G759" s="597"/>
      <c r="H759" s="597"/>
      <c r="I759" s="597"/>
      <c r="J759" s="598"/>
      <c r="K759" s="348"/>
      <c r="L759" s="20"/>
    </row>
    <row r="760" spans="1:15">
      <c r="D760" s="18"/>
      <c r="E760" s="591" t="s">
        <v>2306</v>
      </c>
      <c r="F760" s="592"/>
      <c r="G760" s="592"/>
      <c r="H760" s="592"/>
      <c r="I760" s="327"/>
      <c r="J760" s="308">
        <f>+J758+J751+J744</f>
        <v>9368.4027643119007</v>
      </c>
      <c r="K760" s="365" t="str">
        <f>+F721</f>
        <v>m3</v>
      </c>
      <c r="L760" s="20"/>
    </row>
    <row r="761" spans="1:15">
      <c r="D761" s="18"/>
      <c r="E761" s="591" t="s">
        <v>2305</v>
      </c>
      <c r="F761" s="592"/>
      <c r="G761" s="592"/>
      <c r="H761" s="592"/>
      <c r="I761" s="406">
        <f>+$Q$9</f>
        <v>1.6902999999999999</v>
      </c>
      <c r="J761" s="308">
        <f>+$Q$9*J760</f>
        <v>15835.411192516405</v>
      </c>
      <c r="K761" s="365" t="str">
        <f>+F721</f>
        <v>m3</v>
      </c>
      <c r="L761" s="20"/>
    </row>
    <row r="762" spans="1:15">
      <c r="A762" s="14">
        <f>A715+1</f>
        <v>16</v>
      </c>
      <c r="B762" s="14" t="str">
        <f>"TR" &amp; TEXT(A762,"##000")</f>
        <v>TR016</v>
      </c>
      <c r="C762" s="14">
        <f>+C715+1</f>
        <v>16</v>
      </c>
      <c r="D762" s="18"/>
      <c r="E762" s="591" t="s">
        <v>2304</v>
      </c>
      <c r="F762" s="592"/>
      <c r="G762" s="592"/>
      <c r="H762" s="592"/>
      <c r="I762" s="327"/>
      <c r="J762" s="308">
        <f>+J761</f>
        <v>15835.411192516405</v>
      </c>
      <c r="K762" s="365" t="str">
        <f>+F721</f>
        <v>m3</v>
      </c>
      <c r="L762" s="20"/>
    </row>
    <row r="763" spans="1:15" ht="16.5" thickBot="1">
      <c r="D763" s="21"/>
      <c r="E763" s="30"/>
      <c r="F763" s="30"/>
      <c r="G763" s="30"/>
      <c r="H763" s="30"/>
      <c r="I763" s="30"/>
      <c r="J763" s="30"/>
      <c r="K763" s="349"/>
      <c r="L763" s="22"/>
    </row>
    <row r="764" spans="1:15" ht="16.5" thickTop="1">
      <c r="D764" s="15"/>
      <c r="E764" s="16"/>
      <c r="F764" s="16"/>
      <c r="G764" s="16"/>
      <c r="H764" s="16"/>
      <c r="I764" s="16"/>
      <c r="J764" s="16"/>
      <c r="K764" s="16"/>
      <c r="L764" s="17"/>
    </row>
    <row r="765" spans="1:15">
      <c r="A765" s="14" t="s">
        <v>1833</v>
      </c>
      <c r="D765" s="18"/>
      <c r="E765" s="23" t="s">
        <v>95</v>
      </c>
      <c r="F765" s="24" t="str">
        <f>VLOOKUP($A765,DATRUB,3,FALSE)</f>
        <v>RUBRO IV:</v>
      </c>
      <c r="G765" s="599" t="str">
        <f>VLOOKUP($A765,DATRUB,4,FALSE)</f>
        <v>ALBAÑILERÍA</v>
      </c>
      <c r="H765" s="599"/>
      <c r="I765" s="599"/>
      <c r="J765" s="599"/>
      <c r="K765" s="599"/>
      <c r="L765" s="20"/>
    </row>
    <row r="766" spans="1:15" ht="35.1" customHeight="1">
      <c r="A766" s="14" t="s">
        <v>1834</v>
      </c>
      <c r="D766" s="18"/>
      <c r="E766" s="23" t="s">
        <v>96</v>
      </c>
      <c r="F766" s="399">
        <f>VLOOKUP($A766,DATRUB,3,FALSE)</f>
        <v>4.0999999999999996</v>
      </c>
      <c r="G766" s="599" t="str">
        <f>VLOOKUP($A766,DATRUB,4,FALSE)</f>
        <v>Mamposteria de ladrillon de 0.30 de espesor</v>
      </c>
      <c r="H766" s="599"/>
      <c r="I766" s="599"/>
      <c r="J766" s="599"/>
      <c r="K766" s="599"/>
      <c r="L766" s="20"/>
    </row>
    <row r="767" spans="1:15" ht="35.1" customHeight="1">
      <c r="A767" s="14" t="s">
        <v>1834</v>
      </c>
      <c r="D767" s="18"/>
      <c r="E767" s="23" t="s">
        <v>97</v>
      </c>
      <c r="F767" s="399">
        <f>VLOOKUP($A767,DATRUB,3,FALSE)</f>
        <v>4.0999999999999996</v>
      </c>
      <c r="G767" s="599" t="str">
        <f>VLOOKUP($A767,DATRUB,4,FALSE)</f>
        <v>Mamposteria de ladrillon de 0.30 de espesor</v>
      </c>
      <c r="H767" s="599"/>
      <c r="I767" s="599"/>
      <c r="J767" s="599"/>
      <c r="K767" s="599"/>
      <c r="L767" s="20"/>
    </row>
    <row r="768" spans="1:15">
      <c r="D768" s="18"/>
      <c r="E768" s="23" t="s">
        <v>98</v>
      </c>
      <c r="F768" s="24" t="str">
        <f>VLOOKUP($A767,DATRUB,5,FALSE)</f>
        <v>m2</v>
      </c>
      <c r="G768" s="600"/>
      <c r="H768" s="600"/>
      <c r="I768" s="600"/>
      <c r="J768" s="600"/>
      <c r="K768" s="600"/>
      <c r="L768" s="20"/>
    </row>
    <row r="769" spans="1:13">
      <c r="D769" s="18"/>
      <c r="E769" s="24" t="s">
        <v>1158</v>
      </c>
      <c r="F769" s="25" t="s">
        <v>1250</v>
      </c>
      <c r="G769" s="24" t="s">
        <v>24</v>
      </c>
      <c r="H769" s="24" t="s">
        <v>25</v>
      </c>
      <c r="I769" s="24" t="s">
        <v>24</v>
      </c>
      <c r="J769" s="24" t="s">
        <v>2298</v>
      </c>
      <c r="K769" s="24" t="s">
        <v>24</v>
      </c>
      <c r="L769" s="20"/>
    </row>
    <row r="770" spans="1:13">
      <c r="D770" s="18"/>
      <c r="E770" s="593" t="s">
        <v>99</v>
      </c>
      <c r="F770" s="594"/>
      <c r="G770" s="594"/>
      <c r="H770" s="594"/>
      <c r="I770" s="594"/>
      <c r="J770" s="594"/>
      <c r="K770" s="595"/>
      <c r="L770" s="20"/>
    </row>
    <row r="771" spans="1:13">
      <c r="A771" s="14" t="s">
        <v>2374</v>
      </c>
      <c r="D771" s="18">
        <v>1</v>
      </c>
      <c r="E771" s="355" t="str">
        <f t="shared" ref="E771:E790" si="144">VLOOKUP($A771,MATMO,2,FALSE)</f>
        <v>Ladrillon</v>
      </c>
      <c r="F771" s="400">
        <v>75</v>
      </c>
      <c r="G771" s="357" t="str">
        <f t="shared" ref="G771:G790" si="145">VLOOKUP($A771,MATMO,3,FALSE)</f>
        <v>un</v>
      </c>
      <c r="H771" s="410">
        <f t="shared" ref="H771:H790" si="146">VLOOKUP($A771,MATMO,4,FALSE)*$Q$6</f>
        <v>4.7</v>
      </c>
      <c r="I771" s="359" t="str">
        <f t="shared" ref="I771:I790" si="147">+G771</f>
        <v>un</v>
      </c>
      <c r="J771" s="361">
        <f>+H771*F771</f>
        <v>352.5</v>
      </c>
      <c r="K771" s="360" t="s">
        <v>2299</v>
      </c>
      <c r="L771" s="20"/>
      <c r="M771" s="14" t="s">
        <v>2005</v>
      </c>
    </row>
    <row r="772" spans="1:13">
      <c r="A772" s="14" t="s">
        <v>2375</v>
      </c>
      <c r="D772" s="18">
        <v>2</v>
      </c>
      <c r="E772" s="26" t="str">
        <f t="shared" si="144"/>
        <v>Cemento de Albañilería</v>
      </c>
      <c r="F772" s="400">
        <v>30</v>
      </c>
      <c r="G772" s="307" t="str">
        <f t="shared" si="145"/>
        <v>kg</v>
      </c>
      <c r="H772" s="351">
        <f t="shared" si="146"/>
        <v>1.5645</v>
      </c>
      <c r="I772" s="354" t="str">
        <f t="shared" si="147"/>
        <v>kg</v>
      </c>
      <c r="J772" s="350">
        <f t="shared" ref="J772:J790" si="148">+H772*F772</f>
        <v>46.935000000000002</v>
      </c>
      <c r="K772" s="360" t="s">
        <v>2299</v>
      </c>
      <c r="L772" s="20"/>
    </row>
    <row r="773" spans="1:13">
      <c r="A773" s="14" t="s">
        <v>2366</v>
      </c>
      <c r="D773" s="18">
        <v>3</v>
      </c>
      <c r="E773" s="26" t="str">
        <f t="shared" si="144"/>
        <v>Arena</v>
      </c>
      <c r="F773" s="400">
        <v>0.09</v>
      </c>
      <c r="G773" s="307" t="str">
        <f t="shared" si="145"/>
        <v>m³</v>
      </c>
      <c r="H773" s="351">
        <f t="shared" si="146"/>
        <v>170</v>
      </c>
      <c r="I773" s="354" t="str">
        <f t="shared" si="147"/>
        <v>m³</v>
      </c>
      <c r="J773" s="350">
        <f t="shared" si="148"/>
        <v>15.299999999999999</v>
      </c>
      <c r="K773" s="360" t="s">
        <v>2299</v>
      </c>
      <c r="L773" s="20"/>
    </row>
    <row r="774" spans="1:13">
      <c r="A774" s="14" t="s">
        <v>2365</v>
      </c>
      <c r="D774" s="18">
        <v>4</v>
      </c>
      <c r="E774" s="26" t="str">
        <f t="shared" si="144"/>
        <v>Cemento Puzolanico</v>
      </c>
      <c r="F774" s="400">
        <v>8</v>
      </c>
      <c r="G774" s="307" t="str">
        <f t="shared" si="145"/>
        <v>kg</v>
      </c>
      <c r="H774" s="351">
        <f t="shared" si="146"/>
        <v>2.0474999999999999</v>
      </c>
      <c r="I774" s="354" t="str">
        <f t="shared" si="147"/>
        <v>kg</v>
      </c>
      <c r="J774" s="350">
        <f t="shared" si="148"/>
        <v>16.38</v>
      </c>
      <c r="K774" s="360" t="s">
        <v>2299</v>
      </c>
      <c r="L774" s="20"/>
    </row>
    <row r="775" spans="1:13">
      <c r="A775" s="14" t="s">
        <v>2369</v>
      </c>
      <c r="D775" s="18">
        <v>5</v>
      </c>
      <c r="E775" s="26" t="str">
        <f t="shared" si="144"/>
        <v>Hierro</v>
      </c>
      <c r="F775" s="400">
        <v>0.4</v>
      </c>
      <c r="G775" s="307" t="str">
        <f t="shared" si="145"/>
        <v>kg</v>
      </c>
      <c r="H775" s="351">
        <f t="shared" si="146"/>
        <v>15.588335288624991</v>
      </c>
      <c r="I775" s="354" t="str">
        <f t="shared" si="147"/>
        <v>kg</v>
      </c>
      <c r="J775" s="350">
        <f t="shared" si="148"/>
        <v>6.2353341154499971</v>
      </c>
      <c r="K775" s="360" t="s">
        <v>2299</v>
      </c>
      <c r="L775" s="20"/>
    </row>
    <row r="776" spans="1:13">
      <c r="A776" s="14" t="s">
        <v>31</v>
      </c>
      <c r="D776" s="18">
        <v>6</v>
      </c>
      <c r="E776" s="26" t="str">
        <f t="shared" si="144"/>
        <v>-</v>
      </c>
      <c r="F776" s="311"/>
      <c r="G776" s="307" t="str">
        <f t="shared" si="145"/>
        <v>-</v>
      </c>
      <c r="H776" s="351">
        <f t="shared" si="146"/>
        <v>0</v>
      </c>
      <c r="I776" s="537" t="str">
        <f t="shared" si="147"/>
        <v>-</v>
      </c>
      <c r="J776" s="538">
        <f t="shared" si="148"/>
        <v>0</v>
      </c>
      <c r="K776" s="539" t="s">
        <v>2299</v>
      </c>
      <c r="L776" s="20"/>
    </row>
    <row r="777" spans="1:13">
      <c r="A777" s="14" t="s">
        <v>31</v>
      </c>
      <c r="D777" s="18">
        <v>7</v>
      </c>
      <c r="E777" s="26" t="str">
        <f t="shared" si="144"/>
        <v>-</v>
      </c>
      <c r="F777" s="311"/>
      <c r="G777" s="307" t="str">
        <f t="shared" si="145"/>
        <v>-</v>
      </c>
      <c r="H777" s="351">
        <f t="shared" si="146"/>
        <v>0</v>
      </c>
      <c r="I777" s="537" t="str">
        <f t="shared" si="147"/>
        <v>-</v>
      </c>
      <c r="J777" s="538">
        <f t="shared" si="148"/>
        <v>0</v>
      </c>
      <c r="K777" s="539" t="s">
        <v>2299</v>
      </c>
      <c r="L777" s="20"/>
    </row>
    <row r="778" spans="1:13">
      <c r="A778" s="14" t="s">
        <v>31</v>
      </c>
      <c r="D778" s="18">
        <v>8</v>
      </c>
      <c r="E778" s="26" t="str">
        <f t="shared" si="144"/>
        <v>-</v>
      </c>
      <c r="F778" s="311"/>
      <c r="G778" s="307" t="str">
        <f t="shared" si="145"/>
        <v>-</v>
      </c>
      <c r="H778" s="351">
        <f t="shared" si="146"/>
        <v>0</v>
      </c>
      <c r="I778" s="537" t="str">
        <f t="shared" si="147"/>
        <v>-</v>
      </c>
      <c r="J778" s="538">
        <f t="shared" si="148"/>
        <v>0</v>
      </c>
      <c r="K778" s="539" t="s">
        <v>2299</v>
      </c>
      <c r="L778" s="20"/>
    </row>
    <row r="779" spans="1:13">
      <c r="A779" s="14" t="s">
        <v>31</v>
      </c>
      <c r="D779" s="18">
        <v>9</v>
      </c>
      <c r="E779" s="26" t="str">
        <f t="shared" si="144"/>
        <v>-</v>
      </c>
      <c r="F779" s="311"/>
      <c r="G779" s="307" t="str">
        <f t="shared" si="145"/>
        <v>-</v>
      </c>
      <c r="H779" s="351">
        <f t="shared" si="146"/>
        <v>0</v>
      </c>
      <c r="I779" s="537" t="str">
        <f t="shared" si="147"/>
        <v>-</v>
      </c>
      <c r="J779" s="538">
        <f t="shared" si="148"/>
        <v>0</v>
      </c>
      <c r="K779" s="539" t="s">
        <v>2299</v>
      </c>
      <c r="L779" s="20"/>
    </row>
    <row r="780" spans="1:13">
      <c r="A780" s="14" t="s">
        <v>31</v>
      </c>
      <c r="D780" s="18">
        <v>10</v>
      </c>
      <c r="E780" s="26" t="str">
        <f t="shared" si="144"/>
        <v>-</v>
      </c>
      <c r="F780" s="311"/>
      <c r="G780" s="307" t="str">
        <f t="shared" si="145"/>
        <v>-</v>
      </c>
      <c r="H780" s="351">
        <f t="shared" si="146"/>
        <v>0</v>
      </c>
      <c r="I780" s="537" t="str">
        <f t="shared" si="147"/>
        <v>-</v>
      </c>
      <c r="J780" s="538">
        <f t="shared" si="148"/>
        <v>0</v>
      </c>
      <c r="K780" s="539" t="s">
        <v>2299</v>
      </c>
      <c r="L780" s="20"/>
    </row>
    <row r="781" spans="1:13">
      <c r="A781" s="14" t="s">
        <v>31</v>
      </c>
      <c r="D781" s="18">
        <v>11</v>
      </c>
      <c r="E781" s="26" t="str">
        <f t="shared" si="144"/>
        <v>-</v>
      </c>
      <c r="F781" s="311"/>
      <c r="G781" s="307" t="str">
        <f t="shared" si="145"/>
        <v>-</v>
      </c>
      <c r="H781" s="351">
        <f t="shared" si="146"/>
        <v>0</v>
      </c>
      <c r="I781" s="537" t="str">
        <f t="shared" si="147"/>
        <v>-</v>
      </c>
      <c r="J781" s="538">
        <f t="shared" si="148"/>
        <v>0</v>
      </c>
      <c r="K781" s="539" t="s">
        <v>2299</v>
      </c>
      <c r="L781" s="20"/>
    </row>
    <row r="782" spans="1:13">
      <c r="A782" s="14" t="s">
        <v>31</v>
      </c>
      <c r="D782" s="18">
        <v>12</v>
      </c>
      <c r="E782" s="26" t="str">
        <f t="shared" si="144"/>
        <v>-</v>
      </c>
      <c r="F782" s="311"/>
      <c r="G782" s="307" t="str">
        <f t="shared" si="145"/>
        <v>-</v>
      </c>
      <c r="H782" s="352">
        <f t="shared" si="146"/>
        <v>0</v>
      </c>
      <c r="I782" s="537" t="str">
        <f t="shared" si="147"/>
        <v>-</v>
      </c>
      <c r="J782" s="538">
        <f t="shared" si="148"/>
        <v>0</v>
      </c>
      <c r="K782" s="539" t="s">
        <v>2299</v>
      </c>
      <c r="L782" s="20"/>
    </row>
    <row r="783" spans="1:13">
      <c r="A783" s="14" t="s">
        <v>31</v>
      </c>
      <c r="D783" s="18">
        <v>13</v>
      </c>
      <c r="E783" s="26" t="str">
        <f t="shared" si="144"/>
        <v>-</v>
      </c>
      <c r="F783" s="311"/>
      <c r="G783" s="307" t="str">
        <f t="shared" si="145"/>
        <v>-</v>
      </c>
      <c r="H783" s="352">
        <f t="shared" si="146"/>
        <v>0</v>
      </c>
      <c r="I783" s="537" t="str">
        <f t="shared" si="147"/>
        <v>-</v>
      </c>
      <c r="J783" s="538">
        <f t="shared" si="148"/>
        <v>0</v>
      </c>
      <c r="K783" s="539" t="s">
        <v>2299</v>
      </c>
      <c r="L783" s="20"/>
    </row>
    <row r="784" spans="1:13">
      <c r="A784" s="14" t="s">
        <v>31</v>
      </c>
      <c r="D784" s="18">
        <v>14</v>
      </c>
      <c r="E784" s="26" t="str">
        <f t="shared" si="144"/>
        <v>-</v>
      </c>
      <c r="F784" s="311"/>
      <c r="G784" s="307" t="str">
        <f t="shared" si="145"/>
        <v>-</v>
      </c>
      <c r="H784" s="352">
        <f t="shared" si="146"/>
        <v>0</v>
      </c>
      <c r="I784" s="537" t="str">
        <f t="shared" si="147"/>
        <v>-</v>
      </c>
      <c r="J784" s="538">
        <f t="shared" si="148"/>
        <v>0</v>
      </c>
      <c r="K784" s="539" t="s">
        <v>2299</v>
      </c>
      <c r="L784" s="20"/>
    </row>
    <row r="785" spans="1:19">
      <c r="A785" s="14" t="s">
        <v>31</v>
      </c>
      <c r="D785" s="18">
        <v>15</v>
      </c>
      <c r="E785" s="26" t="str">
        <f t="shared" si="144"/>
        <v>-</v>
      </c>
      <c r="F785" s="311"/>
      <c r="G785" s="307" t="str">
        <f t="shared" si="145"/>
        <v>-</v>
      </c>
      <c r="H785" s="352">
        <f t="shared" si="146"/>
        <v>0</v>
      </c>
      <c r="I785" s="537" t="str">
        <f t="shared" si="147"/>
        <v>-</v>
      </c>
      <c r="J785" s="538">
        <f t="shared" si="148"/>
        <v>0</v>
      </c>
      <c r="K785" s="539" t="s">
        <v>2299</v>
      </c>
      <c r="L785" s="20"/>
    </row>
    <row r="786" spans="1:19">
      <c r="A786" s="14" t="s">
        <v>31</v>
      </c>
      <c r="D786" s="18">
        <v>16</v>
      </c>
      <c r="E786" s="26" t="str">
        <f t="shared" si="144"/>
        <v>-</v>
      </c>
      <c r="F786" s="311"/>
      <c r="G786" s="307" t="str">
        <f t="shared" si="145"/>
        <v>-</v>
      </c>
      <c r="H786" s="352">
        <f t="shared" si="146"/>
        <v>0</v>
      </c>
      <c r="I786" s="537" t="str">
        <f t="shared" si="147"/>
        <v>-</v>
      </c>
      <c r="J786" s="538">
        <f t="shared" si="148"/>
        <v>0</v>
      </c>
      <c r="K786" s="539" t="s">
        <v>2299</v>
      </c>
      <c r="L786" s="20"/>
    </row>
    <row r="787" spans="1:19">
      <c r="A787" s="14" t="s">
        <v>31</v>
      </c>
      <c r="D787" s="18">
        <v>17</v>
      </c>
      <c r="E787" s="26" t="str">
        <f t="shared" si="144"/>
        <v>-</v>
      </c>
      <c r="F787" s="311"/>
      <c r="G787" s="307" t="str">
        <f t="shared" si="145"/>
        <v>-</v>
      </c>
      <c r="H787" s="352">
        <f t="shared" si="146"/>
        <v>0</v>
      </c>
      <c r="I787" s="537" t="str">
        <f t="shared" si="147"/>
        <v>-</v>
      </c>
      <c r="J787" s="538">
        <f t="shared" si="148"/>
        <v>0</v>
      </c>
      <c r="K787" s="539" t="s">
        <v>2299</v>
      </c>
      <c r="L787" s="20"/>
    </row>
    <row r="788" spans="1:19">
      <c r="A788" s="14" t="s">
        <v>31</v>
      </c>
      <c r="D788" s="18">
        <v>18</v>
      </c>
      <c r="E788" s="26" t="str">
        <f t="shared" si="144"/>
        <v>-</v>
      </c>
      <c r="F788" s="311"/>
      <c r="G788" s="307" t="str">
        <f t="shared" si="145"/>
        <v>-</v>
      </c>
      <c r="H788" s="352">
        <f t="shared" si="146"/>
        <v>0</v>
      </c>
      <c r="I788" s="537" t="str">
        <f t="shared" si="147"/>
        <v>-</v>
      </c>
      <c r="J788" s="538">
        <f t="shared" si="148"/>
        <v>0</v>
      </c>
      <c r="K788" s="539" t="s">
        <v>2299</v>
      </c>
      <c r="L788" s="20"/>
    </row>
    <row r="789" spans="1:19">
      <c r="A789" s="14" t="s">
        <v>31</v>
      </c>
      <c r="D789" s="18">
        <v>19</v>
      </c>
      <c r="E789" s="26" t="str">
        <f t="shared" si="144"/>
        <v>-</v>
      </c>
      <c r="F789" s="311"/>
      <c r="G789" s="307" t="str">
        <f t="shared" si="145"/>
        <v>-</v>
      </c>
      <c r="H789" s="352">
        <f t="shared" si="146"/>
        <v>0</v>
      </c>
      <c r="I789" s="537" t="str">
        <f t="shared" si="147"/>
        <v>-</v>
      </c>
      <c r="J789" s="538">
        <f t="shared" si="148"/>
        <v>0</v>
      </c>
      <c r="K789" s="539" t="s">
        <v>2299</v>
      </c>
      <c r="L789" s="20"/>
    </row>
    <row r="790" spans="1:19">
      <c r="A790" s="14" t="s">
        <v>31</v>
      </c>
      <c r="D790" s="18">
        <v>20</v>
      </c>
      <c r="E790" s="26" t="str">
        <f t="shared" si="144"/>
        <v>-</v>
      </c>
      <c r="F790" s="311"/>
      <c r="G790" s="307" t="str">
        <f t="shared" si="145"/>
        <v>-</v>
      </c>
      <c r="H790" s="352">
        <f t="shared" si="146"/>
        <v>0</v>
      </c>
      <c r="I790" s="537" t="str">
        <f t="shared" si="147"/>
        <v>-</v>
      </c>
      <c r="J790" s="541">
        <f t="shared" si="148"/>
        <v>0</v>
      </c>
      <c r="K790" s="539" t="s">
        <v>2299</v>
      </c>
      <c r="L790" s="20"/>
    </row>
    <row r="791" spans="1:19">
      <c r="A791" s="14">
        <f>A758+1</f>
        <v>17</v>
      </c>
      <c r="B791" s="14" t="str">
        <f>"MA" &amp; TEXT(A791,"##000")</f>
        <v>MA017</v>
      </c>
      <c r="D791" s="18"/>
      <c r="E791" s="591" t="s">
        <v>2302</v>
      </c>
      <c r="F791" s="592"/>
      <c r="G791" s="592"/>
      <c r="H791" s="592"/>
      <c r="I791" s="327"/>
      <c r="J791" s="353">
        <f>SUM(J771:J790)</f>
        <v>437.35033411544998</v>
      </c>
      <c r="K791" s="365" t="str">
        <f>+F768</f>
        <v>m2</v>
      </c>
      <c r="L791" s="20"/>
      <c r="O791" s="27" t="s">
        <v>1525</v>
      </c>
      <c r="P791" s="110">
        <v>70</v>
      </c>
    </row>
    <row r="792" spans="1:19">
      <c r="D792" s="18"/>
      <c r="E792" s="593" t="s">
        <v>100</v>
      </c>
      <c r="F792" s="594"/>
      <c r="G792" s="594"/>
      <c r="H792" s="594"/>
      <c r="I792" s="594"/>
      <c r="J792" s="595"/>
      <c r="K792" s="347"/>
      <c r="L792" s="20"/>
      <c r="O792" s="27" t="s">
        <v>1524</v>
      </c>
      <c r="P792" s="110">
        <v>0</v>
      </c>
    </row>
    <row r="793" spans="1:19">
      <c r="A793" s="14" t="s">
        <v>84</v>
      </c>
      <c r="D793" s="18">
        <v>1</v>
      </c>
      <c r="E793" s="26" t="str">
        <f>VLOOKUP($A793,MATMO,2,FALSE)</f>
        <v>Oficial</v>
      </c>
      <c r="F793" s="311">
        <v>1</v>
      </c>
      <c r="G793" s="307" t="str">
        <f>VLOOKUP($A793,MATMO,3,FALSE)</f>
        <v>hs</v>
      </c>
      <c r="H793" s="110">
        <f>VLOOKUP($A793,MATMO,4,FALSE)*$Q$7</f>
        <v>55.38</v>
      </c>
      <c r="I793" s="354" t="str">
        <f t="shared" ref="I793:I797" si="149">+G793</f>
        <v>hs</v>
      </c>
      <c r="J793" s="350">
        <f t="shared" ref="J793:J797" si="150">+H793*F793</f>
        <v>55.38</v>
      </c>
      <c r="K793" s="360" t="s">
        <v>2299</v>
      </c>
      <c r="L793" s="20"/>
      <c r="M793" s="14" t="s">
        <v>2006</v>
      </c>
      <c r="O793" s="27" t="s">
        <v>1526</v>
      </c>
      <c r="P793" s="110">
        <v>0</v>
      </c>
    </row>
    <row r="794" spans="1:19">
      <c r="A794" s="14" t="s">
        <v>85</v>
      </c>
      <c r="D794" s="18">
        <v>2</v>
      </c>
      <c r="E794" s="26" t="str">
        <f>VLOOKUP($A794,MATMO,2,FALSE)</f>
        <v>Ayudante</v>
      </c>
      <c r="F794" s="311">
        <v>0.28000000000000003</v>
      </c>
      <c r="G794" s="307" t="str">
        <f>VLOOKUP($A794,MATMO,3,FALSE)</f>
        <v>hs</v>
      </c>
      <c r="H794" s="110">
        <f>VLOOKUP($A794,MATMO,4,FALSE)*$Q$7</f>
        <v>46.87</v>
      </c>
      <c r="I794" s="354" t="str">
        <f t="shared" si="149"/>
        <v>hs</v>
      </c>
      <c r="J794" s="350">
        <f t="shared" si="150"/>
        <v>13.1236</v>
      </c>
      <c r="K794" s="360" t="s">
        <v>2299</v>
      </c>
      <c r="L794" s="20"/>
      <c r="O794" s="27" t="s">
        <v>1527</v>
      </c>
      <c r="P794" s="110">
        <v>0</v>
      </c>
    </row>
    <row r="795" spans="1:19">
      <c r="A795" s="14" t="s">
        <v>2311</v>
      </c>
      <c r="D795" s="18">
        <v>3</v>
      </c>
      <c r="E795" s="26" t="str">
        <f>VLOOKUP($A795,MATMO,2,FALSE)</f>
        <v>Cargas Sociales Oficial</v>
      </c>
      <c r="F795" s="311">
        <f>+F793</f>
        <v>1</v>
      </c>
      <c r="G795" s="307" t="str">
        <f>VLOOKUP($A795,MATMO,3,FALSE)</f>
        <v>hs</v>
      </c>
      <c r="H795" s="110">
        <f>VLOOKUP($A795,MATMO,4,FALSE)*$Q$7</f>
        <v>52.742782499999997</v>
      </c>
      <c r="I795" s="354" t="str">
        <f t="shared" si="149"/>
        <v>hs</v>
      </c>
      <c r="J795" s="350">
        <f t="shared" si="150"/>
        <v>52.742782499999997</v>
      </c>
      <c r="K795" s="360" t="s">
        <v>2299</v>
      </c>
      <c r="L795" s="20"/>
      <c r="O795" s="27"/>
      <c r="P795" s="110">
        <v>0</v>
      </c>
    </row>
    <row r="796" spans="1:19">
      <c r="A796" s="14" t="s">
        <v>2312</v>
      </c>
      <c r="D796" s="18">
        <v>4</v>
      </c>
      <c r="E796" s="26" t="str">
        <f>VLOOKUP($A796,MATMO,2,FALSE)</f>
        <v>Cargas Sociales Ayudante</v>
      </c>
      <c r="F796" s="311">
        <f>+F794</f>
        <v>0.28000000000000003</v>
      </c>
      <c r="G796" s="307" t="str">
        <f>VLOOKUP($A796,MATMO,3,FALSE)</f>
        <v>hs</v>
      </c>
      <c r="H796" s="110">
        <f>VLOOKUP($A796,MATMO,4,FALSE)*$Q$7</f>
        <v>45.108248750000001</v>
      </c>
      <c r="I796" s="354" t="str">
        <f t="shared" si="149"/>
        <v>hs</v>
      </c>
      <c r="J796" s="350">
        <f t="shared" si="150"/>
        <v>12.630309650000001</v>
      </c>
      <c r="K796" s="360" t="s">
        <v>2299</v>
      </c>
      <c r="L796" s="20"/>
      <c r="O796" s="27"/>
      <c r="P796" s="110">
        <v>0</v>
      </c>
    </row>
    <row r="797" spans="1:19" ht="16.5" thickBot="1">
      <c r="A797" s="14" t="s">
        <v>83</v>
      </c>
      <c r="D797" s="18">
        <v>5</v>
      </c>
      <c r="E797" s="26" t="str">
        <f>VLOOKUP($A797,MATMO,2,FALSE)</f>
        <v>-</v>
      </c>
      <c r="F797" s="311"/>
      <c r="G797" s="307" t="str">
        <f>VLOOKUP($A797,MATMO,3,FALSE)</f>
        <v>-</v>
      </c>
      <c r="H797" s="110">
        <f>VLOOKUP($A797,MATMO,4,FALSE)*$Q$7</f>
        <v>0</v>
      </c>
      <c r="I797" s="537" t="str">
        <f t="shared" si="149"/>
        <v>-</v>
      </c>
      <c r="J797" s="538">
        <f t="shared" si="150"/>
        <v>0</v>
      </c>
      <c r="K797" s="539" t="s">
        <v>2299</v>
      </c>
      <c r="L797" s="20"/>
      <c r="O797" s="27"/>
      <c r="P797" s="110">
        <v>0</v>
      </c>
      <c r="R797" s="29" t="s">
        <v>2307</v>
      </c>
    </row>
    <row r="798" spans="1:19" ht="16.5" thickBot="1">
      <c r="A798" s="14">
        <f>A758+1</f>
        <v>17</v>
      </c>
      <c r="B798" s="14" t="str">
        <f>"MO" &amp; TEXT(A798,"##000")</f>
        <v>MO017</v>
      </c>
      <c r="D798" s="18"/>
      <c r="E798" s="591" t="s">
        <v>2301</v>
      </c>
      <c r="F798" s="592"/>
      <c r="G798" s="592"/>
      <c r="H798" s="592"/>
      <c r="I798" s="327"/>
      <c r="J798" s="362">
        <f>SUM(J793:J797)</f>
        <v>133.87669215</v>
      </c>
      <c r="K798" s="365" t="str">
        <f>+G793</f>
        <v>hs</v>
      </c>
      <c r="L798" s="20"/>
      <c r="N798" s="111">
        <f>+P798+R798</f>
        <v>133</v>
      </c>
      <c r="O798" s="27"/>
      <c r="P798" s="27">
        <f>SUM(P791:P797)</f>
        <v>70</v>
      </c>
      <c r="Q798" s="26">
        <v>0.9</v>
      </c>
      <c r="R798" s="287">
        <f>+Q798*P798</f>
        <v>63</v>
      </c>
      <c r="S798" s="288"/>
    </row>
    <row r="799" spans="1:19">
      <c r="D799" s="18"/>
      <c r="E799" s="593" t="s">
        <v>101</v>
      </c>
      <c r="F799" s="594"/>
      <c r="G799" s="594"/>
      <c r="H799" s="594"/>
      <c r="I799" s="594"/>
      <c r="J799" s="595"/>
      <c r="K799" s="347"/>
      <c r="L799" s="20"/>
      <c r="P799" s="14" t="s">
        <v>2308</v>
      </c>
    </row>
    <row r="800" spans="1:19">
      <c r="A800" s="14" t="s">
        <v>119</v>
      </c>
      <c r="D800" s="18">
        <v>1</v>
      </c>
      <c r="E800" s="26" t="str">
        <f>VLOOKUP($A800,MATMO,2,FALSE)</f>
        <v>Herramientas de Mano</v>
      </c>
      <c r="F800" s="311">
        <v>1</v>
      </c>
      <c r="G800" s="307" t="str">
        <f>VLOOKUP($A800,MATMO,3,FALSE)</f>
        <v>gl</v>
      </c>
      <c r="H800" s="110">
        <f>+(J791+J798)*$Q$5</f>
        <v>22.849081050617997</v>
      </c>
      <c r="I800" s="345" t="str">
        <f>+G800</f>
        <v>gl</v>
      </c>
      <c r="J800" s="350">
        <f t="shared" ref="J800:J804" si="151">+H800*F800</f>
        <v>22.849081050617997</v>
      </c>
      <c r="K800" s="360" t="s">
        <v>2299</v>
      </c>
      <c r="L800" s="20"/>
      <c r="M800" s="14" t="s">
        <v>2004</v>
      </c>
    </row>
    <row r="801" spans="1:12">
      <c r="A801" s="14" t="s">
        <v>121</v>
      </c>
      <c r="D801" s="18">
        <v>2</v>
      </c>
      <c r="E801" s="26" t="str">
        <f>VLOOKUP($A801,MATMO,2,FALSE)</f>
        <v>Hormigonera</v>
      </c>
      <c r="F801" s="311">
        <v>0.1</v>
      </c>
      <c r="G801" s="307" t="str">
        <f>VLOOKUP($A801,MATMO,3,FALSE)</f>
        <v>hs</v>
      </c>
      <c r="H801" s="110">
        <f>VLOOKUP($A801,MATMO,4,FALSE)*$Q$6</f>
        <v>301.3085399449036</v>
      </c>
      <c r="I801" s="345" t="str">
        <f t="shared" ref="I801:I804" si="152">+G801</f>
        <v>hs</v>
      </c>
      <c r="J801" s="350">
        <f t="shared" si="151"/>
        <v>30.130853994490362</v>
      </c>
      <c r="K801" s="360" t="s">
        <v>2299</v>
      </c>
      <c r="L801" s="20"/>
    </row>
    <row r="802" spans="1:12">
      <c r="A802" s="14" t="s">
        <v>118</v>
      </c>
      <c r="D802" s="18">
        <v>3</v>
      </c>
      <c r="E802" s="26" t="str">
        <f>VLOOKUP($A802,MATMO,2,FALSE)</f>
        <v>-</v>
      </c>
      <c r="F802" s="311"/>
      <c r="G802" s="307" t="str">
        <f>VLOOKUP($A802,MATMO,3,FALSE)</f>
        <v>-</v>
      </c>
      <c r="H802" s="110">
        <f>VLOOKUP($A802,MATMO,4,FALSE)*$Q$6</f>
        <v>0</v>
      </c>
      <c r="I802" s="543" t="str">
        <f t="shared" si="152"/>
        <v>-</v>
      </c>
      <c r="J802" s="538">
        <f t="shared" si="151"/>
        <v>0</v>
      </c>
      <c r="K802" s="539" t="s">
        <v>2299</v>
      </c>
      <c r="L802" s="20"/>
    </row>
    <row r="803" spans="1:12">
      <c r="A803" s="14" t="s">
        <v>118</v>
      </c>
      <c r="D803" s="18">
        <v>4</v>
      </c>
      <c r="E803" s="26" t="str">
        <f>VLOOKUP($A803,MATMO,2,FALSE)</f>
        <v>-</v>
      </c>
      <c r="F803" s="311"/>
      <c r="G803" s="307" t="str">
        <f>VLOOKUP($A803,MATMO,3,FALSE)</f>
        <v>-</v>
      </c>
      <c r="H803" s="110">
        <f>VLOOKUP($A803,MATMO,4,FALSE)*$Q$6</f>
        <v>0</v>
      </c>
      <c r="I803" s="543" t="str">
        <f t="shared" si="152"/>
        <v>-</v>
      </c>
      <c r="J803" s="538">
        <f t="shared" si="151"/>
        <v>0</v>
      </c>
      <c r="K803" s="539" t="s">
        <v>2299</v>
      </c>
      <c r="L803" s="20"/>
    </row>
    <row r="804" spans="1:12">
      <c r="A804" s="14" t="s">
        <v>118</v>
      </c>
      <c r="D804" s="18">
        <v>5</v>
      </c>
      <c r="E804" s="26" t="str">
        <f>VLOOKUP($A804,MATMO,2,FALSE)</f>
        <v>-</v>
      </c>
      <c r="F804" s="311"/>
      <c r="G804" s="307" t="str">
        <f>VLOOKUP($A804,MATMO,3,FALSE)</f>
        <v>-</v>
      </c>
      <c r="H804" s="110">
        <f>VLOOKUP($A804,MATMO,4,FALSE)*$Q$6</f>
        <v>0</v>
      </c>
      <c r="I804" s="543" t="str">
        <f t="shared" si="152"/>
        <v>-</v>
      </c>
      <c r="J804" s="538">
        <f t="shared" si="151"/>
        <v>0</v>
      </c>
      <c r="K804" s="539" t="s">
        <v>2299</v>
      </c>
      <c r="L804" s="20"/>
    </row>
    <row r="805" spans="1:12">
      <c r="A805" s="14">
        <f>A758+1</f>
        <v>17</v>
      </c>
      <c r="B805" s="14" t="str">
        <f>"E" &amp; TEXT(A805,"##000")</f>
        <v>E017</v>
      </c>
      <c r="D805" s="18"/>
      <c r="E805" s="591" t="s">
        <v>2300</v>
      </c>
      <c r="F805" s="592"/>
      <c r="G805" s="592"/>
      <c r="H805" s="592"/>
      <c r="I805" s="327"/>
      <c r="J805" s="362">
        <f>SUM(J800:J804)</f>
        <v>52.979935045108363</v>
      </c>
      <c r="K805" s="365" t="s">
        <v>116</v>
      </c>
      <c r="L805" s="20"/>
    </row>
    <row r="806" spans="1:12">
      <c r="D806" s="18"/>
      <c r="E806" s="596"/>
      <c r="F806" s="597"/>
      <c r="G806" s="597"/>
      <c r="H806" s="597"/>
      <c r="I806" s="597"/>
      <c r="J806" s="598"/>
      <c r="K806" s="348"/>
      <c r="L806" s="20"/>
    </row>
    <row r="807" spans="1:12">
      <c r="D807" s="18"/>
      <c r="E807" s="591" t="s">
        <v>2306</v>
      </c>
      <c r="F807" s="592"/>
      <c r="G807" s="592"/>
      <c r="H807" s="592"/>
      <c r="I807" s="327"/>
      <c r="J807" s="308">
        <f>+J805+J798+J791</f>
        <v>624.20696131055831</v>
      </c>
      <c r="K807" s="365" t="str">
        <f>+F768</f>
        <v>m2</v>
      </c>
      <c r="L807" s="20"/>
    </row>
    <row r="808" spans="1:12">
      <c r="D808" s="18"/>
      <c r="E808" s="591" t="s">
        <v>2305</v>
      </c>
      <c r="F808" s="592"/>
      <c r="G808" s="592"/>
      <c r="H808" s="592"/>
      <c r="I808" s="406">
        <f>+$Q$9</f>
        <v>1.6902999999999999</v>
      </c>
      <c r="J808" s="308">
        <f>+$Q$9*J807</f>
        <v>1055.0970267032367</v>
      </c>
      <c r="K808" s="365" t="str">
        <f>+F768</f>
        <v>m2</v>
      </c>
      <c r="L808" s="20"/>
    </row>
    <row r="809" spans="1:12">
      <c r="A809" s="14">
        <f>A762+1</f>
        <v>17</v>
      </c>
      <c r="B809" s="14" t="str">
        <f>"TR" &amp; TEXT(A809,"##000")</f>
        <v>TR017</v>
      </c>
      <c r="C809" s="14">
        <f>+C762+1</f>
        <v>17</v>
      </c>
      <c r="D809" s="18"/>
      <c r="E809" s="591" t="s">
        <v>2304</v>
      </c>
      <c r="F809" s="592"/>
      <c r="G809" s="592"/>
      <c r="H809" s="592"/>
      <c r="I809" s="327"/>
      <c r="J809" s="308">
        <f>+J808</f>
        <v>1055.0970267032367</v>
      </c>
      <c r="K809" s="365" t="str">
        <f>+F768</f>
        <v>m2</v>
      </c>
      <c r="L809" s="20"/>
    </row>
    <row r="810" spans="1:12" ht="16.5" thickBot="1">
      <c r="D810" s="21"/>
      <c r="E810" s="30"/>
      <c r="F810" s="30"/>
      <c r="G810" s="30"/>
      <c r="H810" s="30"/>
      <c r="I810" s="30"/>
      <c r="J810" s="30"/>
      <c r="K810" s="349"/>
      <c r="L810" s="22"/>
    </row>
    <row r="811" spans="1:12" ht="16.5" thickTop="1">
      <c r="D811" s="15"/>
      <c r="E811" s="16"/>
      <c r="F811" s="16"/>
      <c r="G811" s="16"/>
      <c r="H811" s="16"/>
      <c r="I811" s="16"/>
      <c r="J811" s="16"/>
      <c r="K811" s="16"/>
      <c r="L811" s="17"/>
    </row>
    <row r="812" spans="1:12">
      <c r="A812" s="14" t="s">
        <v>1833</v>
      </c>
      <c r="D812" s="18"/>
      <c r="E812" s="23" t="s">
        <v>95</v>
      </c>
      <c r="F812" s="24" t="str">
        <f>VLOOKUP($A812,DATRUB,3,FALSE)</f>
        <v>RUBRO IV:</v>
      </c>
      <c r="G812" s="599" t="str">
        <f>VLOOKUP($A812,DATRUB,4,FALSE)</f>
        <v>ALBAÑILERÍA</v>
      </c>
      <c r="H812" s="599"/>
      <c r="I812" s="599"/>
      <c r="J812" s="599"/>
      <c r="K812" s="599"/>
      <c r="L812" s="20"/>
    </row>
    <row r="813" spans="1:12" ht="35.1" customHeight="1">
      <c r="A813" s="14" t="s">
        <v>1835</v>
      </c>
      <c r="D813" s="18"/>
      <c r="E813" s="23" t="s">
        <v>96</v>
      </c>
      <c r="F813" s="399">
        <f>VLOOKUP($A813,DATRUB,3,FALSE)</f>
        <v>4.2</v>
      </c>
      <c r="G813" s="599" t="str">
        <f>VLOOKUP($A813,DATRUB,4,FALSE)</f>
        <v>Mamposteria de ladrillon de 0.20 de espesor</v>
      </c>
      <c r="H813" s="599"/>
      <c r="I813" s="599"/>
      <c r="J813" s="599"/>
      <c r="K813" s="599"/>
      <c r="L813" s="20"/>
    </row>
    <row r="814" spans="1:12" ht="35.1" customHeight="1">
      <c r="A814" s="14" t="s">
        <v>1835</v>
      </c>
      <c r="D814" s="18"/>
      <c r="E814" s="23" t="s">
        <v>97</v>
      </c>
      <c r="F814" s="399">
        <f>VLOOKUP($A814,DATRUB,3,FALSE)</f>
        <v>4.2</v>
      </c>
      <c r="G814" s="599" t="str">
        <f>VLOOKUP($A814,DATRUB,4,FALSE)</f>
        <v>Mamposteria de ladrillon de 0.20 de espesor</v>
      </c>
      <c r="H814" s="599"/>
      <c r="I814" s="599"/>
      <c r="J814" s="599"/>
      <c r="K814" s="599"/>
      <c r="L814" s="20"/>
    </row>
    <row r="815" spans="1:12">
      <c r="D815" s="18"/>
      <c r="E815" s="23" t="s">
        <v>98</v>
      </c>
      <c r="F815" s="24" t="str">
        <f>VLOOKUP($A814,DATRUB,5,FALSE)</f>
        <v>m2</v>
      </c>
      <c r="G815" s="600"/>
      <c r="H815" s="600"/>
      <c r="I815" s="600"/>
      <c r="J815" s="600"/>
      <c r="K815" s="600"/>
      <c r="L815" s="20"/>
    </row>
    <row r="816" spans="1:12">
      <c r="D816" s="18"/>
      <c r="E816" s="24" t="s">
        <v>1158</v>
      </c>
      <c r="F816" s="25" t="s">
        <v>1250</v>
      </c>
      <c r="G816" s="24" t="s">
        <v>24</v>
      </c>
      <c r="H816" s="24" t="s">
        <v>25</v>
      </c>
      <c r="I816" s="24" t="s">
        <v>24</v>
      </c>
      <c r="J816" s="24" t="s">
        <v>2298</v>
      </c>
      <c r="K816" s="24" t="s">
        <v>24</v>
      </c>
      <c r="L816" s="20"/>
    </row>
    <row r="817" spans="1:13">
      <c r="D817" s="18"/>
      <c r="E817" s="593" t="s">
        <v>99</v>
      </c>
      <c r="F817" s="594"/>
      <c r="G817" s="594"/>
      <c r="H817" s="594"/>
      <c r="I817" s="594"/>
      <c r="J817" s="594"/>
      <c r="K817" s="595"/>
      <c r="L817" s="20"/>
    </row>
    <row r="818" spans="1:13">
      <c r="A818" s="14" t="s">
        <v>2374</v>
      </c>
      <c r="D818" s="18">
        <v>1</v>
      </c>
      <c r="E818" s="355" t="str">
        <f t="shared" ref="E818:E837" si="153">VLOOKUP($A818,MATMO,2,FALSE)</f>
        <v>Ladrillon</v>
      </c>
      <c r="F818" s="400">
        <v>45</v>
      </c>
      <c r="G818" s="357" t="str">
        <f t="shared" ref="G818:G837" si="154">VLOOKUP($A818,MATMO,3,FALSE)</f>
        <v>un</v>
      </c>
      <c r="H818" s="410">
        <f t="shared" ref="H818:H837" si="155">VLOOKUP($A818,MATMO,4,FALSE)*$Q$6</f>
        <v>4.7</v>
      </c>
      <c r="I818" s="359" t="str">
        <f t="shared" ref="I818:I837" si="156">+G818</f>
        <v>un</v>
      </c>
      <c r="J818" s="361">
        <f>+H818*F818</f>
        <v>211.5</v>
      </c>
      <c r="K818" s="360" t="s">
        <v>2299</v>
      </c>
      <c r="L818" s="20"/>
      <c r="M818" s="14" t="s">
        <v>2005</v>
      </c>
    </row>
    <row r="819" spans="1:13">
      <c r="A819" s="14" t="s">
        <v>2375</v>
      </c>
      <c r="D819" s="18">
        <v>2</v>
      </c>
      <c r="E819" s="26" t="str">
        <f t="shared" si="153"/>
        <v>Cemento de Albañilería</v>
      </c>
      <c r="F819" s="400">
        <v>22</v>
      </c>
      <c r="G819" s="307" t="str">
        <f t="shared" si="154"/>
        <v>kg</v>
      </c>
      <c r="H819" s="351">
        <f t="shared" si="155"/>
        <v>1.5645</v>
      </c>
      <c r="I819" s="354" t="str">
        <f t="shared" si="156"/>
        <v>kg</v>
      </c>
      <c r="J819" s="350">
        <f t="shared" ref="J819:J837" si="157">+H819*F819</f>
        <v>34.418999999999997</v>
      </c>
      <c r="K819" s="360" t="s">
        <v>2299</v>
      </c>
      <c r="L819" s="20"/>
    </row>
    <row r="820" spans="1:13">
      <c r="A820" s="14" t="s">
        <v>2366</v>
      </c>
      <c r="D820" s="18">
        <v>3</v>
      </c>
      <c r="E820" s="26" t="str">
        <f t="shared" si="153"/>
        <v>Arena</v>
      </c>
      <c r="F820" s="400">
        <v>7.0000000000000007E-2</v>
      </c>
      <c r="G820" s="307" t="str">
        <f t="shared" si="154"/>
        <v>m³</v>
      </c>
      <c r="H820" s="351">
        <f t="shared" si="155"/>
        <v>170</v>
      </c>
      <c r="I820" s="354" t="str">
        <f t="shared" si="156"/>
        <v>m³</v>
      </c>
      <c r="J820" s="350">
        <f t="shared" si="157"/>
        <v>11.9</v>
      </c>
      <c r="K820" s="360" t="s">
        <v>2299</v>
      </c>
      <c r="L820" s="20"/>
    </row>
    <row r="821" spans="1:13">
      <c r="A821" s="14" t="s">
        <v>2365</v>
      </c>
      <c r="D821" s="18">
        <v>4</v>
      </c>
      <c r="E821" s="26" t="str">
        <f t="shared" si="153"/>
        <v>Cemento Puzolanico</v>
      </c>
      <c r="F821" s="400">
        <v>5</v>
      </c>
      <c r="G821" s="307" t="str">
        <f t="shared" si="154"/>
        <v>kg</v>
      </c>
      <c r="H821" s="351">
        <f t="shared" si="155"/>
        <v>2.0474999999999999</v>
      </c>
      <c r="I821" s="354" t="str">
        <f t="shared" si="156"/>
        <v>kg</v>
      </c>
      <c r="J821" s="350">
        <f t="shared" si="157"/>
        <v>10.237499999999999</v>
      </c>
      <c r="K821" s="360" t="s">
        <v>2299</v>
      </c>
      <c r="L821" s="20"/>
    </row>
    <row r="822" spans="1:13">
      <c r="A822" s="14" t="s">
        <v>2369</v>
      </c>
      <c r="D822" s="18">
        <v>5</v>
      </c>
      <c r="E822" s="26" t="str">
        <f t="shared" si="153"/>
        <v>Hierro</v>
      </c>
      <c r="F822" s="400">
        <v>0.4</v>
      </c>
      <c r="G822" s="307" t="str">
        <f t="shared" si="154"/>
        <v>kg</v>
      </c>
      <c r="H822" s="351">
        <f t="shared" si="155"/>
        <v>15.588335288624991</v>
      </c>
      <c r="I822" s="354" t="str">
        <f t="shared" si="156"/>
        <v>kg</v>
      </c>
      <c r="J822" s="350">
        <f t="shared" si="157"/>
        <v>6.2353341154499971</v>
      </c>
      <c r="K822" s="360" t="s">
        <v>2299</v>
      </c>
      <c r="L822" s="20"/>
    </row>
    <row r="823" spans="1:13">
      <c r="A823" s="14" t="s">
        <v>31</v>
      </c>
      <c r="D823" s="18">
        <v>6</v>
      </c>
      <c r="E823" s="26" t="str">
        <f t="shared" si="153"/>
        <v>-</v>
      </c>
      <c r="F823" s="311"/>
      <c r="G823" s="307" t="str">
        <f t="shared" si="154"/>
        <v>-</v>
      </c>
      <c r="H823" s="351">
        <f t="shared" si="155"/>
        <v>0</v>
      </c>
      <c r="I823" s="537" t="str">
        <f t="shared" si="156"/>
        <v>-</v>
      </c>
      <c r="J823" s="538">
        <f t="shared" si="157"/>
        <v>0</v>
      </c>
      <c r="K823" s="539" t="s">
        <v>2299</v>
      </c>
      <c r="L823" s="20"/>
    </row>
    <row r="824" spans="1:13">
      <c r="A824" s="14" t="s">
        <v>31</v>
      </c>
      <c r="D824" s="18">
        <v>7</v>
      </c>
      <c r="E824" s="26" t="str">
        <f t="shared" si="153"/>
        <v>-</v>
      </c>
      <c r="F824" s="311"/>
      <c r="G824" s="307" t="str">
        <f t="shared" si="154"/>
        <v>-</v>
      </c>
      <c r="H824" s="351">
        <f t="shared" si="155"/>
        <v>0</v>
      </c>
      <c r="I824" s="537" t="str">
        <f t="shared" si="156"/>
        <v>-</v>
      </c>
      <c r="J824" s="538">
        <f t="shared" si="157"/>
        <v>0</v>
      </c>
      <c r="K824" s="539" t="s">
        <v>2299</v>
      </c>
      <c r="L824" s="20"/>
    </row>
    <row r="825" spans="1:13">
      <c r="A825" s="14" t="s">
        <v>31</v>
      </c>
      <c r="D825" s="18">
        <v>8</v>
      </c>
      <c r="E825" s="26" t="str">
        <f t="shared" si="153"/>
        <v>-</v>
      </c>
      <c r="F825" s="311"/>
      <c r="G825" s="307" t="str">
        <f t="shared" si="154"/>
        <v>-</v>
      </c>
      <c r="H825" s="351">
        <f t="shared" si="155"/>
        <v>0</v>
      </c>
      <c r="I825" s="537" t="str">
        <f t="shared" si="156"/>
        <v>-</v>
      </c>
      <c r="J825" s="538">
        <f t="shared" si="157"/>
        <v>0</v>
      </c>
      <c r="K825" s="539" t="s">
        <v>2299</v>
      </c>
      <c r="L825" s="20"/>
    </row>
    <row r="826" spans="1:13">
      <c r="A826" s="14" t="s">
        <v>31</v>
      </c>
      <c r="D826" s="18">
        <v>9</v>
      </c>
      <c r="E826" s="26" t="str">
        <f t="shared" si="153"/>
        <v>-</v>
      </c>
      <c r="F826" s="311"/>
      <c r="G826" s="307" t="str">
        <f t="shared" si="154"/>
        <v>-</v>
      </c>
      <c r="H826" s="351">
        <f t="shared" si="155"/>
        <v>0</v>
      </c>
      <c r="I826" s="537" t="str">
        <f t="shared" si="156"/>
        <v>-</v>
      </c>
      <c r="J826" s="538">
        <f t="shared" si="157"/>
        <v>0</v>
      </c>
      <c r="K826" s="539" t="s">
        <v>2299</v>
      </c>
      <c r="L826" s="20"/>
    </row>
    <row r="827" spans="1:13">
      <c r="A827" s="14" t="s">
        <v>31</v>
      </c>
      <c r="D827" s="18">
        <v>10</v>
      </c>
      <c r="E827" s="26" t="str">
        <f t="shared" si="153"/>
        <v>-</v>
      </c>
      <c r="F827" s="311"/>
      <c r="G827" s="307" t="str">
        <f t="shared" si="154"/>
        <v>-</v>
      </c>
      <c r="H827" s="351">
        <f t="shared" si="155"/>
        <v>0</v>
      </c>
      <c r="I827" s="537" t="str">
        <f t="shared" si="156"/>
        <v>-</v>
      </c>
      <c r="J827" s="538">
        <f t="shared" si="157"/>
        <v>0</v>
      </c>
      <c r="K827" s="539" t="s">
        <v>2299</v>
      </c>
      <c r="L827" s="20"/>
    </row>
    <row r="828" spans="1:13">
      <c r="A828" s="14" t="s">
        <v>31</v>
      </c>
      <c r="D828" s="18">
        <v>11</v>
      </c>
      <c r="E828" s="26" t="str">
        <f t="shared" si="153"/>
        <v>-</v>
      </c>
      <c r="F828" s="311"/>
      <c r="G828" s="307" t="str">
        <f t="shared" si="154"/>
        <v>-</v>
      </c>
      <c r="H828" s="351">
        <f t="shared" si="155"/>
        <v>0</v>
      </c>
      <c r="I828" s="537" t="str">
        <f t="shared" si="156"/>
        <v>-</v>
      </c>
      <c r="J828" s="538">
        <f t="shared" si="157"/>
        <v>0</v>
      </c>
      <c r="K828" s="539" t="s">
        <v>2299</v>
      </c>
      <c r="L828" s="20"/>
    </row>
    <row r="829" spans="1:13">
      <c r="A829" s="14" t="s">
        <v>31</v>
      </c>
      <c r="D829" s="18">
        <v>12</v>
      </c>
      <c r="E829" s="26" t="str">
        <f t="shared" si="153"/>
        <v>-</v>
      </c>
      <c r="F829" s="311"/>
      <c r="G829" s="307" t="str">
        <f t="shared" si="154"/>
        <v>-</v>
      </c>
      <c r="H829" s="352">
        <f t="shared" si="155"/>
        <v>0</v>
      </c>
      <c r="I829" s="537" t="str">
        <f t="shared" si="156"/>
        <v>-</v>
      </c>
      <c r="J829" s="538">
        <f t="shared" si="157"/>
        <v>0</v>
      </c>
      <c r="K829" s="539" t="s">
        <v>2299</v>
      </c>
      <c r="L829" s="20"/>
    </row>
    <row r="830" spans="1:13">
      <c r="A830" s="14" t="s">
        <v>31</v>
      </c>
      <c r="D830" s="18">
        <v>13</v>
      </c>
      <c r="E830" s="26" t="str">
        <f t="shared" si="153"/>
        <v>-</v>
      </c>
      <c r="F830" s="311"/>
      <c r="G830" s="307" t="str">
        <f t="shared" si="154"/>
        <v>-</v>
      </c>
      <c r="H830" s="352">
        <f t="shared" si="155"/>
        <v>0</v>
      </c>
      <c r="I830" s="537" t="str">
        <f t="shared" si="156"/>
        <v>-</v>
      </c>
      <c r="J830" s="538">
        <f t="shared" si="157"/>
        <v>0</v>
      </c>
      <c r="K830" s="539" t="s">
        <v>2299</v>
      </c>
      <c r="L830" s="20"/>
    </row>
    <row r="831" spans="1:13">
      <c r="A831" s="14" t="s">
        <v>31</v>
      </c>
      <c r="D831" s="18">
        <v>14</v>
      </c>
      <c r="E831" s="26" t="str">
        <f t="shared" si="153"/>
        <v>-</v>
      </c>
      <c r="F831" s="311"/>
      <c r="G831" s="307" t="str">
        <f t="shared" si="154"/>
        <v>-</v>
      </c>
      <c r="H831" s="352">
        <f t="shared" si="155"/>
        <v>0</v>
      </c>
      <c r="I831" s="537" t="str">
        <f t="shared" si="156"/>
        <v>-</v>
      </c>
      <c r="J831" s="538">
        <f t="shared" si="157"/>
        <v>0</v>
      </c>
      <c r="K831" s="539" t="s">
        <v>2299</v>
      </c>
      <c r="L831" s="20"/>
    </row>
    <row r="832" spans="1:13">
      <c r="A832" s="14" t="s">
        <v>31</v>
      </c>
      <c r="D832" s="18">
        <v>15</v>
      </c>
      <c r="E832" s="26" t="str">
        <f t="shared" si="153"/>
        <v>-</v>
      </c>
      <c r="F832" s="311"/>
      <c r="G832" s="307" t="str">
        <f t="shared" si="154"/>
        <v>-</v>
      </c>
      <c r="H832" s="352">
        <f t="shared" si="155"/>
        <v>0</v>
      </c>
      <c r="I832" s="537" t="str">
        <f t="shared" si="156"/>
        <v>-</v>
      </c>
      <c r="J832" s="538">
        <f t="shared" si="157"/>
        <v>0</v>
      </c>
      <c r="K832" s="539" t="s">
        <v>2299</v>
      </c>
      <c r="L832" s="20"/>
    </row>
    <row r="833" spans="1:19">
      <c r="A833" s="14" t="s">
        <v>31</v>
      </c>
      <c r="D833" s="18">
        <v>16</v>
      </c>
      <c r="E833" s="26" t="str">
        <f t="shared" si="153"/>
        <v>-</v>
      </c>
      <c r="F833" s="311"/>
      <c r="G833" s="307" t="str">
        <f t="shared" si="154"/>
        <v>-</v>
      </c>
      <c r="H833" s="352">
        <f t="shared" si="155"/>
        <v>0</v>
      </c>
      <c r="I833" s="537" t="str">
        <f t="shared" si="156"/>
        <v>-</v>
      </c>
      <c r="J833" s="538">
        <f t="shared" si="157"/>
        <v>0</v>
      </c>
      <c r="K833" s="539" t="s">
        <v>2299</v>
      </c>
      <c r="L833" s="20"/>
    </row>
    <row r="834" spans="1:19">
      <c r="A834" s="14" t="s">
        <v>31</v>
      </c>
      <c r="D834" s="18">
        <v>17</v>
      </c>
      <c r="E834" s="26" t="str">
        <f t="shared" si="153"/>
        <v>-</v>
      </c>
      <c r="F834" s="311"/>
      <c r="G834" s="307" t="str">
        <f t="shared" si="154"/>
        <v>-</v>
      </c>
      <c r="H834" s="352">
        <f t="shared" si="155"/>
        <v>0</v>
      </c>
      <c r="I834" s="537" t="str">
        <f t="shared" si="156"/>
        <v>-</v>
      </c>
      <c r="J834" s="538">
        <f t="shared" si="157"/>
        <v>0</v>
      </c>
      <c r="K834" s="539" t="s">
        <v>2299</v>
      </c>
      <c r="L834" s="20"/>
    </row>
    <row r="835" spans="1:19">
      <c r="A835" s="14" t="s">
        <v>31</v>
      </c>
      <c r="D835" s="18">
        <v>18</v>
      </c>
      <c r="E835" s="26" t="str">
        <f t="shared" si="153"/>
        <v>-</v>
      </c>
      <c r="F835" s="311"/>
      <c r="G835" s="307" t="str">
        <f t="shared" si="154"/>
        <v>-</v>
      </c>
      <c r="H835" s="352">
        <f t="shared" si="155"/>
        <v>0</v>
      </c>
      <c r="I835" s="537" t="str">
        <f t="shared" si="156"/>
        <v>-</v>
      </c>
      <c r="J835" s="538">
        <f t="shared" si="157"/>
        <v>0</v>
      </c>
      <c r="K835" s="539" t="s">
        <v>2299</v>
      </c>
      <c r="L835" s="20"/>
    </row>
    <row r="836" spans="1:19">
      <c r="A836" s="14" t="s">
        <v>31</v>
      </c>
      <c r="D836" s="18">
        <v>19</v>
      </c>
      <c r="E836" s="26" t="str">
        <f t="shared" si="153"/>
        <v>-</v>
      </c>
      <c r="F836" s="311"/>
      <c r="G836" s="307" t="str">
        <f t="shared" si="154"/>
        <v>-</v>
      </c>
      <c r="H836" s="352">
        <f t="shared" si="155"/>
        <v>0</v>
      </c>
      <c r="I836" s="537" t="str">
        <f t="shared" si="156"/>
        <v>-</v>
      </c>
      <c r="J836" s="538">
        <f t="shared" si="157"/>
        <v>0</v>
      </c>
      <c r="K836" s="539" t="s">
        <v>2299</v>
      </c>
      <c r="L836" s="20"/>
    </row>
    <row r="837" spans="1:19">
      <c r="A837" s="14" t="s">
        <v>31</v>
      </c>
      <c r="D837" s="18">
        <v>20</v>
      </c>
      <c r="E837" s="26" t="str">
        <f t="shared" si="153"/>
        <v>-</v>
      </c>
      <c r="F837" s="311"/>
      <c r="G837" s="307" t="str">
        <f t="shared" si="154"/>
        <v>-</v>
      </c>
      <c r="H837" s="352">
        <f t="shared" si="155"/>
        <v>0</v>
      </c>
      <c r="I837" s="537" t="str">
        <f t="shared" si="156"/>
        <v>-</v>
      </c>
      <c r="J837" s="541">
        <f t="shared" si="157"/>
        <v>0</v>
      </c>
      <c r="K837" s="539" t="s">
        <v>2299</v>
      </c>
      <c r="L837" s="20"/>
    </row>
    <row r="838" spans="1:19">
      <c r="A838" s="14">
        <f>A805+1</f>
        <v>18</v>
      </c>
      <c r="B838" s="14" t="str">
        <f>"MA" &amp; TEXT(A838,"##000")</f>
        <v>MA018</v>
      </c>
      <c r="D838" s="18"/>
      <c r="E838" s="591" t="s">
        <v>2302</v>
      </c>
      <c r="F838" s="592"/>
      <c r="G838" s="592"/>
      <c r="H838" s="592"/>
      <c r="I838" s="327"/>
      <c r="J838" s="353">
        <f>SUM(J818:J837)</f>
        <v>274.29183411544994</v>
      </c>
      <c r="K838" s="365" t="str">
        <f>+F815</f>
        <v>m2</v>
      </c>
      <c r="L838" s="20"/>
      <c r="O838" s="27" t="s">
        <v>1525</v>
      </c>
      <c r="P838" s="110">
        <v>60</v>
      </c>
    </row>
    <row r="839" spans="1:19">
      <c r="D839" s="18"/>
      <c r="E839" s="593" t="s">
        <v>100</v>
      </c>
      <c r="F839" s="594"/>
      <c r="G839" s="594"/>
      <c r="H839" s="594"/>
      <c r="I839" s="594"/>
      <c r="J839" s="595"/>
      <c r="K839" s="347"/>
      <c r="L839" s="20"/>
      <c r="O839" s="27" t="s">
        <v>1524</v>
      </c>
      <c r="P839" s="110">
        <v>0</v>
      </c>
    </row>
    <row r="840" spans="1:19">
      <c r="A840" s="14" t="s">
        <v>84</v>
      </c>
      <c r="D840" s="18">
        <v>1</v>
      </c>
      <c r="E840" s="26" t="str">
        <f>VLOOKUP($A840,MATMO,2,FALSE)</f>
        <v>Oficial</v>
      </c>
      <c r="F840" s="311">
        <v>0.9</v>
      </c>
      <c r="G840" s="307" t="str">
        <f>VLOOKUP($A840,MATMO,3,FALSE)</f>
        <v>hs</v>
      </c>
      <c r="H840" s="110">
        <f>VLOOKUP($A840,MATMO,4,FALSE)*$Q$7</f>
        <v>55.38</v>
      </c>
      <c r="I840" s="354" t="str">
        <f t="shared" ref="I840:I844" si="158">+G840</f>
        <v>hs</v>
      </c>
      <c r="J840" s="350">
        <f t="shared" ref="J840:J844" si="159">+H840*F840</f>
        <v>49.842000000000006</v>
      </c>
      <c r="K840" s="360" t="s">
        <v>2299</v>
      </c>
      <c r="L840" s="20"/>
      <c r="M840" s="14" t="s">
        <v>2006</v>
      </c>
      <c r="O840" s="27" t="s">
        <v>1526</v>
      </c>
      <c r="P840" s="110">
        <v>0</v>
      </c>
    </row>
    <row r="841" spans="1:19">
      <c r="A841" s="14" t="s">
        <v>85</v>
      </c>
      <c r="D841" s="18">
        <v>2</v>
      </c>
      <c r="E841" s="26" t="str">
        <f>VLOOKUP($A841,MATMO,2,FALSE)</f>
        <v>Ayudante</v>
      </c>
      <c r="F841" s="311">
        <v>0.2</v>
      </c>
      <c r="G841" s="307" t="str">
        <f>VLOOKUP($A841,MATMO,3,FALSE)</f>
        <v>hs</v>
      </c>
      <c r="H841" s="110">
        <f>VLOOKUP($A841,MATMO,4,FALSE)*$Q$7</f>
        <v>46.87</v>
      </c>
      <c r="I841" s="354" t="str">
        <f t="shared" si="158"/>
        <v>hs</v>
      </c>
      <c r="J841" s="350">
        <f t="shared" si="159"/>
        <v>9.3740000000000006</v>
      </c>
      <c r="K841" s="360" t="s">
        <v>2299</v>
      </c>
      <c r="L841" s="20"/>
      <c r="O841" s="27" t="s">
        <v>1527</v>
      </c>
      <c r="P841" s="110">
        <v>0</v>
      </c>
    </row>
    <row r="842" spans="1:19">
      <c r="A842" s="14" t="s">
        <v>2311</v>
      </c>
      <c r="D842" s="18">
        <v>3</v>
      </c>
      <c r="E842" s="26" t="str">
        <f>VLOOKUP($A842,MATMO,2,FALSE)</f>
        <v>Cargas Sociales Oficial</v>
      </c>
      <c r="F842" s="311">
        <f>+F840</f>
        <v>0.9</v>
      </c>
      <c r="G842" s="307" t="str">
        <f>VLOOKUP($A842,MATMO,3,FALSE)</f>
        <v>hs</v>
      </c>
      <c r="H842" s="110">
        <f>VLOOKUP($A842,MATMO,4,FALSE)*$Q$7</f>
        <v>52.742782499999997</v>
      </c>
      <c r="I842" s="354" t="str">
        <f t="shared" si="158"/>
        <v>hs</v>
      </c>
      <c r="J842" s="350">
        <f t="shared" si="159"/>
        <v>47.468504249999995</v>
      </c>
      <c r="K842" s="360" t="s">
        <v>2299</v>
      </c>
      <c r="L842" s="20"/>
      <c r="O842" s="27"/>
      <c r="P842" s="110">
        <v>0</v>
      </c>
    </row>
    <row r="843" spans="1:19">
      <c r="A843" s="14" t="s">
        <v>2312</v>
      </c>
      <c r="D843" s="18">
        <v>4</v>
      </c>
      <c r="E843" s="26" t="str">
        <f>VLOOKUP($A843,MATMO,2,FALSE)</f>
        <v>Cargas Sociales Ayudante</v>
      </c>
      <c r="F843" s="311">
        <f>+F841</f>
        <v>0.2</v>
      </c>
      <c r="G843" s="307" t="str">
        <f>VLOOKUP($A843,MATMO,3,FALSE)</f>
        <v>hs</v>
      </c>
      <c r="H843" s="110">
        <f>VLOOKUP($A843,MATMO,4,FALSE)*$Q$7</f>
        <v>45.108248750000001</v>
      </c>
      <c r="I843" s="354" t="str">
        <f t="shared" si="158"/>
        <v>hs</v>
      </c>
      <c r="J843" s="350">
        <f t="shared" si="159"/>
        <v>9.0216497499999999</v>
      </c>
      <c r="K843" s="360" t="s">
        <v>2299</v>
      </c>
      <c r="L843" s="20"/>
      <c r="O843" s="27"/>
      <c r="P843" s="110">
        <v>0</v>
      </c>
    </row>
    <row r="844" spans="1:19" ht="16.5" thickBot="1">
      <c r="A844" s="14" t="s">
        <v>83</v>
      </c>
      <c r="D844" s="18">
        <v>5</v>
      </c>
      <c r="E844" s="26" t="str">
        <f>VLOOKUP($A844,MATMO,2,FALSE)</f>
        <v>-</v>
      </c>
      <c r="F844" s="311"/>
      <c r="G844" s="307" t="str">
        <f>VLOOKUP($A844,MATMO,3,FALSE)</f>
        <v>-</v>
      </c>
      <c r="H844" s="110">
        <f>VLOOKUP($A844,MATMO,4,FALSE)*$Q$7</f>
        <v>0</v>
      </c>
      <c r="I844" s="537" t="str">
        <f t="shared" si="158"/>
        <v>-</v>
      </c>
      <c r="J844" s="538">
        <f t="shared" si="159"/>
        <v>0</v>
      </c>
      <c r="K844" s="539" t="s">
        <v>2299</v>
      </c>
      <c r="L844" s="20"/>
      <c r="O844" s="27"/>
      <c r="P844" s="110">
        <v>0</v>
      </c>
      <c r="R844" s="29" t="s">
        <v>2307</v>
      </c>
    </row>
    <row r="845" spans="1:19" ht="16.5" thickBot="1">
      <c r="A845" s="14">
        <f>A805+1</f>
        <v>18</v>
      </c>
      <c r="B845" s="14" t="str">
        <f>"MO" &amp; TEXT(A845,"##000")</f>
        <v>MO018</v>
      </c>
      <c r="D845" s="18"/>
      <c r="E845" s="591" t="s">
        <v>2301</v>
      </c>
      <c r="F845" s="592"/>
      <c r="G845" s="592"/>
      <c r="H845" s="592"/>
      <c r="I845" s="327"/>
      <c r="J845" s="362">
        <f>SUM(J840:J844)</f>
        <v>115.706154</v>
      </c>
      <c r="K845" s="365" t="str">
        <f>+G840</f>
        <v>hs</v>
      </c>
      <c r="L845" s="20"/>
      <c r="N845" s="111">
        <f>+P845+R845</f>
        <v>114</v>
      </c>
      <c r="O845" s="27"/>
      <c r="P845" s="27">
        <f>SUM(P838:P844)</f>
        <v>60</v>
      </c>
      <c r="Q845" s="26">
        <v>0.9</v>
      </c>
      <c r="R845" s="287">
        <f>+Q845*P845</f>
        <v>54</v>
      </c>
      <c r="S845" s="288"/>
    </row>
    <row r="846" spans="1:19">
      <c r="D846" s="18"/>
      <c r="E846" s="593" t="s">
        <v>101</v>
      </c>
      <c r="F846" s="594"/>
      <c r="G846" s="594"/>
      <c r="H846" s="594"/>
      <c r="I846" s="594"/>
      <c r="J846" s="595"/>
      <c r="K846" s="347"/>
      <c r="L846" s="20"/>
      <c r="P846" s="14" t="s">
        <v>2308</v>
      </c>
    </row>
    <row r="847" spans="1:19">
      <c r="A847" s="14" t="s">
        <v>119</v>
      </c>
      <c r="D847" s="18">
        <v>1</v>
      </c>
      <c r="E847" s="26" t="str">
        <f>VLOOKUP($A847,MATMO,2,FALSE)</f>
        <v>Herramientas de Mano</v>
      </c>
      <c r="F847" s="311">
        <v>1</v>
      </c>
      <c r="G847" s="307" t="str">
        <f>VLOOKUP($A847,MATMO,3,FALSE)</f>
        <v>gl</v>
      </c>
      <c r="H847" s="110">
        <f>+(J838+J845)*$Q$5</f>
        <v>15.599919524617999</v>
      </c>
      <c r="I847" s="345" t="str">
        <f>+G847</f>
        <v>gl</v>
      </c>
      <c r="J847" s="350">
        <f t="shared" ref="J847:J851" si="160">+H847*F847</f>
        <v>15.599919524617999</v>
      </c>
      <c r="K847" s="360" t="s">
        <v>2299</v>
      </c>
      <c r="L847" s="20"/>
      <c r="M847" s="14" t="s">
        <v>2004</v>
      </c>
    </row>
    <row r="848" spans="1:19">
      <c r="A848" s="14" t="s">
        <v>121</v>
      </c>
      <c r="D848" s="18">
        <v>2</v>
      </c>
      <c r="E848" s="26" t="str">
        <f>VLOOKUP($A848,MATMO,2,FALSE)</f>
        <v>Hormigonera</v>
      </c>
      <c r="F848" s="311">
        <v>0.1</v>
      </c>
      <c r="G848" s="307" t="str">
        <f>VLOOKUP($A848,MATMO,3,FALSE)</f>
        <v>hs</v>
      </c>
      <c r="H848" s="110">
        <f>VLOOKUP($A848,MATMO,4,FALSE)*$Q$6</f>
        <v>301.3085399449036</v>
      </c>
      <c r="I848" s="345" t="str">
        <f t="shared" ref="I848:I851" si="161">+G848</f>
        <v>hs</v>
      </c>
      <c r="J848" s="350">
        <f t="shared" si="160"/>
        <v>30.130853994490362</v>
      </c>
      <c r="K848" s="360" t="s">
        <v>2299</v>
      </c>
      <c r="L848" s="20"/>
    </row>
    <row r="849" spans="1:12">
      <c r="A849" s="14" t="s">
        <v>118</v>
      </c>
      <c r="D849" s="18">
        <v>3</v>
      </c>
      <c r="E849" s="26" t="str">
        <f>VLOOKUP($A849,MATMO,2,FALSE)</f>
        <v>-</v>
      </c>
      <c r="F849" s="311"/>
      <c r="G849" s="307" t="str">
        <f>VLOOKUP($A849,MATMO,3,FALSE)</f>
        <v>-</v>
      </c>
      <c r="H849" s="110">
        <f>VLOOKUP($A849,MATMO,4,FALSE)*$Q$6</f>
        <v>0</v>
      </c>
      <c r="I849" s="543" t="str">
        <f t="shared" si="161"/>
        <v>-</v>
      </c>
      <c r="J849" s="538">
        <f t="shared" si="160"/>
        <v>0</v>
      </c>
      <c r="K849" s="539" t="s">
        <v>2299</v>
      </c>
      <c r="L849" s="20"/>
    </row>
    <row r="850" spans="1:12">
      <c r="A850" s="14" t="s">
        <v>118</v>
      </c>
      <c r="D850" s="18">
        <v>4</v>
      </c>
      <c r="E850" s="26" t="str">
        <f>VLOOKUP($A850,MATMO,2,FALSE)</f>
        <v>-</v>
      </c>
      <c r="F850" s="311"/>
      <c r="G850" s="307" t="str">
        <f>VLOOKUP($A850,MATMO,3,FALSE)</f>
        <v>-</v>
      </c>
      <c r="H850" s="110">
        <f>VLOOKUP($A850,MATMO,4,FALSE)*$Q$6</f>
        <v>0</v>
      </c>
      <c r="I850" s="543" t="str">
        <f t="shared" si="161"/>
        <v>-</v>
      </c>
      <c r="J850" s="538">
        <f t="shared" si="160"/>
        <v>0</v>
      </c>
      <c r="K850" s="539" t="s">
        <v>2299</v>
      </c>
      <c r="L850" s="20"/>
    </row>
    <row r="851" spans="1:12">
      <c r="A851" s="14" t="s">
        <v>118</v>
      </c>
      <c r="D851" s="18">
        <v>5</v>
      </c>
      <c r="E851" s="26" t="str">
        <f>VLOOKUP($A851,MATMO,2,FALSE)</f>
        <v>-</v>
      </c>
      <c r="F851" s="311"/>
      <c r="G851" s="307" t="str">
        <f>VLOOKUP($A851,MATMO,3,FALSE)</f>
        <v>-</v>
      </c>
      <c r="H851" s="110">
        <f>VLOOKUP($A851,MATMO,4,FALSE)*$Q$6</f>
        <v>0</v>
      </c>
      <c r="I851" s="543" t="str">
        <f t="shared" si="161"/>
        <v>-</v>
      </c>
      <c r="J851" s="538">
        <f t="shared" si="160"/>
        <v>0</v>
      </c>
      <c r="K851" s="539" t="s">
        <v>2299</v>
      </c>
      <c r="L851" s="20"/>
    </row>
    <row r="852" spans="1:12">
      <c r="A852" s="14">
        <f>A805+1</f>
        <v>18</v>
      </c>
      <c r="B852" s="14" t="str">
        <f>"E" &amp; TEXT(A852,"##000")</f>
        <v>E018</v>
      </c>
      <c r="D852" s="18"/>
      <c r="E852" s="591" t="s">
        <v>2300</v>
      </c>
      <c r="F852" s="592"/>
      <c r="G852" s="592"/>
      <c r="H852" s="592"/>
      <c r="I852" s="327"/>
      <c r="J852" s="362">
        <f>SUM(J847:J851)</f>
        <v>45.730773519108361</v>
      </c>
      <c r="K852" s="365" t="s">
        <v>116</v>
      </c>
      <c r="L852" s="20"/>
    </row>
    <row r="853" spans="1:12">
      <c r="D853" s="18"/>
      <c r="E853" s="596"/>
      <c r="F853" s="597"/>
      <c r="G853" s="597"/>
      <c r="H853" s="597"/>
      <c r="I853" s="597"/>
      <c r="J853" s="598"/>
      <c r="K853" s="348"/>
      <c r="L853" s="20"/>
    </row>
    <row r="854" spans="1:12">
      <c r="D854" s="18"/>
      <c r="E854" s="591" t="s">
        <v>2306</v>
      </c>
      <c r="F854" s="592"/>
      <c r="G854" s="592"/>
      <c r="H854" s="592"/>
      <c r="I854" s="327"/>
      <c r="J854" s="308">
        <f>+J852+J845+J838</f>
        <v>435.72876163455828</v>
      </c>
      <c r="K854" s="365" t="str">
        <f>+F815</f>
        <v>m2</v>
      </c>
      <c r="L854" s="20"/>
    </row>
    <row r="855" spans="1:12">
      <c r="D855" s="18"/>
      <c r="E855" s="591" t="s">
        <v>2305</v>
      </c>
      <c r="F855" s="592"/>
      <c r="G855" s="592"/>
      <c r="H855" s="592"/>
      <c r="I855" s="406">
        <f>+$Q$9</f>
        <v>1.6902999999999999</v>
      </c>
      <c r="J855" s="308">
        <f>+$Q$9*J854</f>
        <v>736.51232579089378</v>
      </c>
      <c r="K855" s="365" t="str">
        <f>+F815</f>
        <v>m2</v>
      </c>
      <c r="L855" s="20"/>
    </row>
    <row r="856" spans="1:12">
      <c r="A856" s="14">
        <f>A809+1</f>
        <v>18</v>
      </c>
      <c r="B856" s="14" t="str">
        <f>"TR" &amp; TEXT(A856,"##000")</f>
        <v>TR018</v>
      </c>
      <c r="C856" s="14">
        <f>+C809+1</f>
        <v>18</v>
      </c>
      <c r="D856" s="18"/>
      <c r="E856" s="591" t="s">
        <v>2304</v>
      </c>
      <c r="F856" s="592"/>
      <c r="G856" s="592"/>
      <c r="H856" s="592"/>
      <c r="I856" s="327"/>
      <c r="J856" s="308">
        <f>+J855</f>
        <v>736.51232579089378</v>
      </c>
      <c r="K856" s="365" t="str">
        <f>+F815</f>
        <v>m2</v>
      </c>
      <c r="L856" s="20"/>
    </row>
    <row r="857" spans="1:12" ht="16.5" thickBot="1">
      <c r="D857" s="21"/>
      <c r="E857" s="30"/>
      <c r="F857" s="30"/>
      <c r="G857" s="30"/>
      <c r="H857" s="30"/>
      <c r="I857" s="30"/>
      <c r="J857" s="30"/>
      <c r="K857" s="349"/>
      <c r="L857" s="22"/>
    </row>
    <row r="858" spans="1:12" ht="16.5" thickTop="1">
      <c r="D858" s="15"/>
      <c r="E858" s="16"/>
      <c r="F858" s="16"/>
      <c r="G858" s="16"/>
      <c r="H858" s="16"/>
      <c r="I858" s="16"/>
      <c r="J858" s="16"/>
      <c r="K858" s="16"/>
      <c r="L858" s="17"/>
    </row>
    <row r="859" spans="1:12">
      <c r="A859" s="14" t="s">
        <v>1833</v>
      </c>
      <c r="D859" s="18"/>
      <c r="E859" s="23" t="s">
        <v>95</v>
      </c>
      <c r="F859" s="24" t="str">
        <f>VLOOKUP($A859,DATRUB,3,FALSE)</f>
        <v>RUBRO IV:</v>
      </c>
      <c r="G859" s="599" t="str">
        <f>VLOOKUP($A859,DATRUB,4,FALSE)</f>
        <v>ALBAÑILERÍA</v>
      </c>
      <c r="H859" s="599"/>
      <c r="I859" s="599"/>
      <c r="J859" s="599"/>
      <c r="K859" s="599"/>
      <c r="L859" s="20"/>
    </row>
    <row r="860" spans="1:12" ht="35.1" customHeight="1">
      <c r="A860" s="14" t="s">
        <v>1836</v>
      </c>
      <c r="D860" s="18"/>
      <c r="E860" s="23" t="s">
        <v>96</v>
      </c>
      <c r="F860" s="399">
        <f>VLOOKUP($A860,DATRUB,3,FALSE)</f>
        <v>4.3</v>
      </c>
      <c r="G860" s="599" t="str">
        <f>VLOOKUP($A860,DATRUB,4,FALSE)</f>
        <v>Mamposteria de ladrillo de 0.12 de espesor</v>
      </c>
      <c r="H860" s="599"/>
      <c r="I860" s="599"/>
      <c r="J860" s="599"/>
      <c r="K860" s="599"/>
      <c r="L860" s="20"/>
    </row>
    <row r="861" spans="1:12" ht="35.1" customHeight="1">
      <c r="A861" s="14" t="s">
        <v>1836</v>
      </c>
      <c r="D861" s="18"/>
      <c r="E861" s="23" t="s">
        <v>97</v>
      </c>
      <c r="F861" s="399">
        <f>VLOOKUP($A861,DATRUB,3,FALSE)</f>
        <v>4.3</v>
      </c>
      <c r="G861" s="599" t="str">
        <f>VLOOKUP($A861,DATRUB,4,FALSE)</f>
        <v>Mamposteria de ladrillo de 0.12 de espesor</v>
      </c>
      <c r="H861" s="599"/>
      <c r="I861" s="599"/>
      <c r="J861" s="599"/>
      <c r="K861" s="599"/>
      <c r="L861" s="20"/>
    </row>
    <row r="862" spans="1:12">
      <c r="D862" s="18"/>
      <c r="E862" s="23" t="s">
        <v>98</v>
      </c>
      <c r="F862" s="24" t="str">
        <f>VLOOKUP($A861,DATRUB,5,FALSE)</f>
        <v>m2</v>
      </c>
      <c r="G862" s="600"/>
      <c r="H862" s="600"/>
      <c r="I862" s="600"/>
      <c r="J862" s="600"/>
      <c r="K862" s="600"/>
      <c r="L862" s="20"/>
    </row>
    <row r="863" spans="1:12">
      <c r="D863" s="18"/>
      <c r="E863" s="24" t="s">
        <v>1158</v>
      </c>
      <c r="F863" s="25" t="s">
        <v>1250</v>
      </c>
      <c r="G863" s="24" t="s">
        <v>24</v>
      </c>
      <c r="H863" s="24" t="s">
        <v>25</v>
      </c>
      <c r="I863" s="24" t="s">
        <v>24</v>
      </c>
      <c r="J863" s="24" t="s">
        <v>2298</v>
      </c>
      <c r="K863" s="24" t="s">
        <v>24</v>
      </c>
      <c r="L863" s="20"/>
    </row>
    <row r="864" spans="1:12">
      <c r="D864" s="18"/>
      <c r="E864" s="593" t="s">
        <v>99</v>
      </c>
      <c r="F864" s="594"/>
      <c r="G864" s="594"/>
      <c r="H864" s="594"/>
      <c r="I864" s="594"/>
      <c r="J864" s="594"/>
      <c r="K864" s="595"/>
      <c r="L864" s="20"/>
    </row>
    <row r="865" spans="1:13">
      <c r="A865" s="14" t="s">
        <v>2374</v>
      </c>
      <c r="D865" s="18">
        <v>1</v>
      </c>
      <c r="E865" s="355" t="str">
        <f t="shared" ref="E865:E884" si="162">VLOOKUP($A865,MATMO,2,FALSE)</f>
        <v>Ladrillon</v>
      </c>
      <c r="F865" s="400">
        <v>40</v>
      </c>
      <c r="G865" s="357" t="str">
        <f t="shared" ref="G865:G884" si="163">VLOOKUP($A865,MATMO,3,FALSE)</f>
        <v>un</v>
      </c>
      <c r="H865" s="410">
        <f t="shared" ref="H865:H884" si="164">VLOOKUP($A865,MATMO,4,FALSE)*$Q$6</f>
        <v>4.7</v>
      </c>
      <c r="I865" s="359" t="str">
        <f t="shared" ref="I865:I884" si="165">+G865</f>
        <v>un</v>
      </c>
      <c r="J865" s="361">
        <f>+H865*F865</f>
        <v>188</v>
      </c>
      <c r="K865" s="360" t="s">
        <v>2299</v>
      </c>
      <c r="L865" s="20"/>
      <c r="M865" s="14" t="s">
        <v>2005</v>
      </c>
    </row>
    <row r="866" spans="1:13">
      <c r="A866" s="14" t="s">
        <v>2375</v>
      </c>
      <c r="D866" s="18">
        <v>2</v>
      </c>
      <c r="E866" s="26" t="str">
        <f t="shared" si="162"/>
        <v>Cemento de Albañilería</v>
      </c>
      <c r="F866" s="400">
        <v>22</v>
      </c>
      <c r="G866" s="307" t="str">
        <f t="shared" si="163"/>
        <v>kg</v>
      </c>
      <c r="H866" s="351">
        <f t="shared" si="164"/>
        <v>1.5645</v>
      </c>
      <c r="I866" s="354" t="str">
        <f t="shared" si="165"/>
        <v>kg</v>
      </c>
      <c r="J866" s="350">
        <f t="shared" ref="J866:J884" si="166">+H866*F866</f>
        <v>34.418999999999997</v>
      </c>
      <c r="K866" s="360" t="s">
        <v>2299</v>
      </c>
      <c r="L866" s="20"/>
    </row>
    <row r="867" spans="1:13">
      <c r="A867" s="14" t="s">
        <v>2366</v>
      </c>
      <c r="D867" s="18">
        <v>3</v>
      </c>
      <c r="E867" s="26" t="str">
        <f t="shared" si="162"/>
        <v>Arena</v>
      </c>
      <c r="F867" s="400">
        <v>7.0000000000000007E-2</v>
      </c>
      <c r="G867" s="307" t="str">
        <f t="shared" si="163"/>
        <v>m³</v>
      </c>
      <c r="H867" s="351">
        <f t="shared" si="164"/>
        <v>170</v>
      </c>
      <c r="I867" s="354" t="str">
        <f t="shared" si="165"/>
        <v>m³</v>
      </c>
      <c r="J867" s="350">
        <f t="shared" si="166"/>
        <v>11.9</v>
      </c>
      <c r="K867" s="360" t="s">
        <v>2299</v>
      </c>
      <c r="L867" s="20"/>
    </row>
    <row r="868" spans="1:13">
      <c r="A868" s="14" t="s">
        <v>2365</v>
      </c>
      <c r="D868" s="18">
        <v>4</v>
      </c>
      <c r="E868" s="26" t="str">
        <f t="shared" si="162"/>
        <v>Cemento Puzolanico</v>
      </c>
      <c r="F868" s="400">
        <v>5</v>
      </c>
      <c r="G868" s="307" t="str">
        <f t="shared" si="163"/>
        <v>kg</v>
      </c>
      <c r="H868" s="351">
        <f t="shared" si="164"/>
        <v>2.0474999999999999</v>
      </c>
      <c r="I868" s="354" t="str">
        <f t="shared" si="165"/>
        <v>kg</v>
      </c>
      <c r="J868" s="350">
        <f t="shared" si="166"/>
        <v>10.237499999999999</v>
      </c>
      <c r="K868" s="360" t="s">
        <v>2299</v>
      </c>
      <c r="L868" s="20"/>
    </row>
    <row r="869" spans="1:13">
      <c r="A869" s="14" t="s">
        <v>2369</v>
      </c>
      <c r="D869" s="18">
        <v>5</v>
      </c>
      <c r="E869" s="26" t="str">
        <f t="shared" si="162"/>
        <v>Hierro</v>
      </c>
      <c r="F869" s="400">
        <v>0.4</v>
      </c>
      <c r="G869" s="307" t="str">
        <f t="shared" si="163"/>
        <v>kg</v>
      </c>
      <c r="H869" s="351">
        <f t="shared" si="164"/>
        <v>15.588335288624991</v>
      </c>
      <c r="I869" s="354" t="str">
        <f t="shared" si="165"/>
        <v>kg</v>
      </c>
      <c r="J869" s="350">
        <f t="shared" si="166"/>
        <v>6.2353341154499971</v>
      </c>
      <c r="K869" s="360" t="s">
        <v>2299</v>
      </c>
      <c r="L869" s="20"/>
    </row>
    <row r="870" spans="1:13">
      <c r="A870" s="14" t="s">
        <v>31</v>
      </c>
      <c r="D870" s="18">
        <v>6</v>
      </c>
      <c r="E870" s="26" t="str">
        <f t="shared" si="162"/>
        <v>-</v>
      </c>
      <c r="F870" s="311"/>
      <c r="G870" s="307" t="str">
        <f t="shared" si="163"/>
        <v>-</v>
      </c>
      <c r="H870" s="351">
        <f t="shared" si="164"/>
        <v>0</v>
      </c>
      <c r="I870" s="537" t="str">
        <f t="shared" si="165"/>
        <v>-</v>
      </c>
      <c r="J870" s="538">
        <f t="shared" si="166"/>
        <v>0</v>
      </c>
      <c r="K870" s="539" t="s">
        <v>2299</v>
      </c>
      <c r="L870" s="20"/>
    </row>
    <row r="871" spans="1:13">
      <c r="A871" s="14" t="s">
        <v>31</v>
      </c>
      <c r="D871" s="18">
        <v>7</v>
      </c>
      <c r="E871" s="26" t="str">
        <f t="shared" si="162"/>
        <v>-</v>
      </c>
      <c r="F871" s="311"/>
      <c r="G871" s="307" t="str">
        <f t="shared" si="163"/>
        <v>-</v>
      </c>
      <c r="H871" s="351">
        <f t="shared" si="164"/>
        <v>0</v>
      </c>
      <c r="I871" s="537" t="str">
        <f t="shared" si="165"/>
        <v>-</v>
      </c>
      <c r="J871" s="538">
        <f t="shared" si="166"/>
        <v>0</v>
      </c>
      <c r="K871" s="539" t="s">
        <v>2299</v>
      </c>
      <c r="L871" s="20"/>
    </row>
    <row r="872" spans="1:13">
      <c r="A872" s="14" t="s">
        <v>31</v>
      </c>
      <c r="D872" s="18">
        <v>8</v>
      </c>
      <c r="E872" s="26" t="str">
        <f t="shared" si="162"/>
        <v>-</v>
      </c>
      <c r="F872" s="311"/>
      <c r="G872" s="307" t="str">
        <f t="shared" si="163"/>
        <v>-</v>
      </c>
      <c r="H872" s="351">
        <f t="shared" si="164"/>
        <v>0</v>
      </c>
      <c r="I872" s="537" t="str">
        <f t="shared" si="165"/>
        <v>-</v>
      </c>
      <c r="J872" s="538">
        <f t="shared" si="166"/>
        <v>0</v>
      </c>
      <c r="K872" s="539" t="s">
        <v>2299</v>
      </c>
      <c r="L872" s="20"/>
    </row>
    <row r="873" spans="1:13">
      <c r="A873" s="14" t="s">
        <v>31</v>
      </c>
      <c r="D873" s="18">
        <v>9</v>
      </c>
      <c r="E873" s="26" t="str">
        <f t="shared" si="162"/>
        <v>-</v>
      </c>
      <c r="F873" s="311"/>
      <c r="G873" s="307" t="str">
        <f t="shared" si="163"/>
        <v>-</v>
      </c>
      <c r="H873" s="351">
        <f t="shared" si="164"/>
        <v>0</v>
      </c>
      <c r="I873" s="537" t="str">
        <f t="shared" si="165"/>
        <v>-</v>
      </c>
      <c r="J873" s="538">
        <f t="shared" si="166"/>
        <v>0</v>
      </c>
      <c r="K873" s="539" t="s">
        <v>2299</v>
      </c>
      <c r="L873" s="20"/>
    </row>
    <row r="874" spans="1:13">
      <c r="A874" s="14" t="s">
        <v>31</v>
      </c>
      <c r="D874" s="18">
        <v>10</v>
      </c>
      <c r="E874" s="26" t="str">
        <f t="shared" si="162"/>
        <v>-</v>
      </c>
      <c r="F874" s="311"/>
      <c r="G874" s="307" t="str">
        <f t="shared" si="163"/>
        <v>-</v>
      </c>
      <c r="H874" s="351">
        <f t="shared" si="164"/>
        <v>0</v>
      </c>
      <c r="I874" s="537" t="str">
        <f t="shared" si="165"/>
        <v>-</v>
      </c>
      <c r="J874" s="538">
        <f t="shared" si="166"/>
        <v>0</v>
      </c>
      <c r="K874" s="539" t="s">
        <v>2299</v>
      </c>
      <c r="L874" s="20"/>
    </row>
    <row r="875" spans="1:13">
      <c r="A875" s="14" t="s">
        <v>31</v>
      </c>
      <c r="D875" s="18">
        <v>11</v>
      </c>
      <c r="E875" s="26" t="str">
        <f t="shared" si="162"/>
        <v>-</v>
      </c>
      <c r="F875" s="311"/>
      <c r="G875" s="307" t="str">
        <f t="shared" si="163"/>
        <v>-</v>
      </c>
      <c r="H875" s="351">
        <f t="shared" si="164"/>
        <v>0</v>
      </c>
      <c r="I875" s="537" t="str">
        <f t="shared" si="165"/>
        <v>-</v>
      </c>
      <c r="J875" s="538">
        <f t="shared" si="166"/>
        <v>0</v>
      </c>
      <c r="K875" s="539" t="s">
        <v>2299</v>
      </c>
      <c r="L875" s="20"/>
    </row>
    <row r="876" spans="1:13">
      <c r="A876" s="14" t="s">
        <v>31</v>
      </c>
      <c r="D876" s="18">
        <v>12</v>
      </c>
      <c r="E876" s="26" t="str">
        <f t="shared" si="162"/>
        <v>-</v>
      </c>
      <c r="F876" s="311"/>
      <c r="G876" s="307" t="str">
        <f t="shared" si="163"/>
        <v>-</v>
      </c>
      <c r="H876" s="352">
        <f t="shared" si="164"/>
        <v>0</v>
      </c>
      <c r="I876" s="537" t="str">
        <f t="shared" si="165"/>
        <v>-</v>
      </c>
      <c r="J876" s="538">
        <f t="shared" si="166"/>
        <v>0</v>
      </c>
      <c r="K876" s="539" t="s">
        <v>2299</v>
      </c>
      <c r="L876" s="20"/>
    </row>
    <row r="877" spans="1:13">
      <c r="A877" s="14" t="s">
        <v>31</v>
      </c>
      <c r="D877" s="18">
        <v>13</v>
      </c>
      <c r="E877" s="26" t="str">
        <f t="shared" si="162"/>
        <v>-</v>
      </c>
      <c r="F877" s="311"/>
      <c r="G877" s="307" t="str">
        <f t="shared" si="163"/>
        <v>-</v>
      </c>
      <c r="H877" s="352">
        <f t="shared" si="164"/>
        <v>0</v>
      </c>
      <c r="I877" s="537" t="str">
        <f t="shared" si="165"/>
        <v>-</v>
      </c>
      <c r="J877" s="538">
        <f t="shared" si="166"/>
        <v>0</v>
      </c>
      <c r="K877" s="539" t="s">
        <v>2299</v>
      </c>
      <c r="L877" s="20"/>
    </row>
    <row r="878" spans="1:13">
      <c r="A878" s="14" t="s">
        <v>31</v>
      </c>
      <c r="D878" s="18">
        <v>14</v>
      </c>
      <c r="E878" s="26" t="str">
        <f t="shared" si="162"/>
        <v>-</v>
      </c>
      <c r="F878" s="311"/>
      <c r="G878" s="307" t="str">
        <f t="shared" si="163"/>
        <v>-</v>
      </c>
      <c r="H878" s="352">
        <f t="shared" si="164"/>
        <v>0</v>
      </c>
      <c r="I878" s="537" t="str">
        <f t="shared" si="165"/>
        <v>-</v>
      </c>
      <c r="J878" s="538">
        <f t="shared" si="166"/>
        <v>0</v>
      </c>
      <c r="K878" s="539" t="s">
        <v>2299</v>
      </c>
      <c r="L878" s="20"/>
    </row>
    <row r="879" spans="1:13">
      <c r="A879" s="14" t="s">
        <v>31</v>
      </c>
      <c r="D879" s="18">
        <v>15</v>
      </c>
      <c r="E879" s="26" t="str">
        <f t="shared" si="162"/>
        <v>-</v>
      </c>
      <c r="F879" s="311"/>
      <c r="G879" s="307" t="str">
        <f t="shared" si="163"/>
        <v>-</v>
      </c>
      <c r="H879" s="352">
        <f t="shared" si="164"/>
        <v>0</v>
      </c>
      <c r="I879" s="537" t="str">
        <f t="shared" si="165"/>
        <v>-</v>
      </c>
      <c r="J879" s="538">
        <f t="shared" si="166"/>
        <v>0</v>
      </c>
      <c r="K879" s="539" t="s">
        <v>2299</v>
      </c>
      <c r="L879" s="20"/>
    </row>
    <row r="880" spans="1:13">
      <c r="A880" s="14" t="s">
        <v>31</v>
      </c>
      <c r="D880" s="18">
        <v>16</v>
      </c>
      <c r="E880" s="26" t="str">
        <f t="shared" si="162"/>
        <v>-</v>
      </c>
      <c r="F880" s="311"/>
      <c r="G880" s="307" t="str">
        <f t="shared" si="163"/>
        <v>-</v>
      </c>
      <c r="H880" s="352">
        <f t="shared" si="164"/>
        <v>0</v>
      </c>
      <c r="I880" s="537" t="str">
        <f t="shared" si="165"/>
        <v>-</v>
      </c>
      <c r="J880" s="538">
        <f t="shared" si="166"/>
        <v>0</v>
      </c>
      <c r="K880" s="539" t="s">
        <v>2299</v>
      </c>
      <c r="L880" s="20"/>
    </row>
    <row r="881" spans="1:19">
      <c r="A881" s="14" t="s">
        <v>31</v>
      </c>
      <c r="D881" s="18">
        <v>17</v>
      </c>
      <c r="E881" s="26" t="str">
        <f t="shared" si="162"/>
        <v>-</v>
      </c>
      <c r="F881" s="311"/>
      <c r="G881" s="307" t="str">
        <f t="shared" si="163"/>
        <v>-</v>
      </c>
      <c r="H881" s="352">
        <f t="shared" si="164"/>
        <v>0</v>
      </c>
      <c r="I881" s="537" t="str">
        <f t="shared" si="165"/>
        <v>-</v>
      </c>
      <c r="J881" s="538">
        <f t="shared" si="166"/>
        <v>0</v>
      </c>
      <c r="K881" s="539" t="s">
        <v>2299</v>
      </c>
      <c r="L881" s="20"/>
    </row>
    <row r="882" spans="1:19">
      <c r="A882" s="14" t="s">
        <v>31</v>
      </c>
      <c r="D882" s="18">
        <v>18</v>
      </c>
      <c r="E882" s="26" t="str">
        <f t="shared" si="162"/>
        <v>-</v>
      </c>
      <c r="F882" s="311"/>
      <c r="G882" s="307" t="str">
        <f t="shared" si="163"/>
        <v>-</v>
      </c>
      <c r="H882" s="352">
        <f t="shared" si="164"/>
        <v>0</v>
      </c>
      <c r="I882" s="537" t="str">
        <f t="shared" si="165"/>
        <v>-</v>
      </c>
      <c r="J882" s="538">
        <f t="shared" si="166"/>
        <v>0</v>
      </c>
      <c r="K882" s="539" t="s">
        <v>2299</v>
      </c>
      <c r="L882" s="20"/>
    </row>
    <row r="883" spans="1:19">
      <c r="A883" s="14" t="s">
        <v>31</v>
      </c>
      <c r="D883" s="18">
        <v>19</v>
      </c>
      <c r="E883" s="26" t="str">
        <f t="shared" si="162"/>
        <v>-</v>
      </c>
      <c r="F883" s="311"/>
      <c r="G883" s="307" t="str">
        <f t="shared" si="163"/>
        <v>-</v>
      </c>
      <c r="H883" s="352">
        <f t="shared" si="164"/>
        <v>0</v>
      </c>
      <c r="I883" s="537" t="str">
        <f t="shared" si="165"/>
        <v>-</v>
      </c>
      <c r="J883" s="538">
        <f t="shared" si="166"/>
        <v>0</v>
      </c>
      <c r="K883" s="539" t="s">
        <v>2299</v>
      </c>
      <c r="L883" s="20"/>
    </row>
    <row r="884" spans="1:19">
      <c r="A884" s="14" t="s">
        <v>31</v>
      </c>
      <c r="D884" s="18">
        <v>20</v>
      </c>
      <c r="E884" s="26" t="str">
        <f t="shared" si="162"/>
        <v>-</v>
      </c>
      <c r="F884" s="311"/>
      <c r="G884" s="307" t="str">
        <f t="shared" si="163"/>
        <v>-</v>
      </c>
      <c r="H884" s="352">
        <f t="shared" si="164"/>
        <v>0</v>
      </c>
      <c r="I884" s="537" t="str">
        <f t="shared" si="165"/>
        <v>-</v>
      </c>
      <c r="J884" s="541">
        <f t="shared" si="166"/>
        <v>0</v>
      </c>
      <c r="K884" s="539" t="s">
        <v>2299</v>
      </c>
      <c r="L884" s="20"/>
    </row>
    <row r="885" spans="1:19">
      <c r="A885" s="14">
        <f>A852+1</f>
        <v>19</v>
      </c>
      <c r="B885" s="14" t="str">
        <f>"MA" &amp; TEXT(A885,"##000")</f>
        <v>MA019</v>
      </c>
      <c r="D885" s="18"/>
      <c r="E885" s="591" t="s">
        <v>2302</v>
      </c>
      <c r="F885" s="592"/>
      <c r="G885" s="592"/>
      <c r="H885" s="592"/>
      <c r="I885" s="327"/>
      <c r="J885" s="353">
        <f>SUM(J865:J884)</f>
        <v>250.79183411545</v>
      </c>
      <c r="K885" s="365" t="str">
        <f>+F862</f>
        <v>m2</v>
      </c>
      <c r="L885" s="20"/>
      <c r="O885" s="27" t="s">
        <v>1525</v>
      </c>
      <c r="P885" s="110">
        <v>0</v>
      </c>
    </row>
    <row r="886" spans="1:19">
      <c r="D886" s="18"/>
      <c r="E886" s="593" t="s">
        <v>100</v>
      </c>
      <c r="F886" s="594"/>
      <c r="G886" s="594"/>
      <c r="H886" s="594"/>
      <c r="I886" s="594"/>
      <c r="J886" s="595"/>
      <c r="K886" s="347"/>
      <c r="L886" s="20"/>
      <c r="O886" s="27" t="s">
        <v>1524</v>
      </c>
      <c r="P886" s="110">
        <v>0</v>
      </c>
    </row>
    <row r="887" spans="1:19">
      <c r="A887" s="14" t="s">
        <v>84</v>
      </c>
      <c r="D887" s="18">
        <v>1</v>
      </c>
      <c r="E887" s="26" t="str">
        <f>VLOOKUP($A887,MATMO,2,FALSE)</f>
        <v>Oficial</v>
      </c>
      <c r="F887" s="311">
        <v>0.9</v>
      </c>
      <c r="G887" s="307" t="str">
        <f>VLOOKUP($A887,MATMO,3,FALSE)</f>
        <v>hs</v>
      </c>
      <c r="H887" s="110">
        <f>VLOOKUP($A887,MATMO,4,FALSE)*$Q$7</f>
        <v>55.38</v>
      </c>
      <c r="I887" s="354" t="str">
        <f t="shared" ref="I887:I891" si="167">+G887</f>
        <v>hs</v>
      </c>
      <c r="J887" s="350">
        <f t="shared" ref="J887:J891" si="168">+H887*F887</f>
        <v>49.842000000000006</v>
      </c>
      <c r="K887" s="360" t="s">
        <v>2299</v>
      </c>
      <c r="L887" s="20"/>
      <c r="M887" s="14" t="s">
        <v>2006</v>
      </c>
      <c r="O887" s="27" t="s">
        <v>1526</v>
      </c>
      <c r="P887" s="110">
        <v>0</v>
      </c>
    </row>
    <row r="888" spans="1:19">
      <c r="A888" s="14" t="s">
        <v>85</v>
      </c>
      <c r="D888" s="18">
        <v>2</v>
      </c>
      <c r="E888" s="26" t="str">
        <f>VLOOKUP($A888,MATMO,2,FALSE)</f>
        <v>Ayudante</v>
      </c>
      <c r="F888" s="311">
        <v>0.2</v>
      </c>
      <c r="G888" s="307" t="str">
        <f>VLOOKUP($A888,MATMO,3,FALSE)</f>
        <v>hs</v>
      </c>
      <c r="H888" s="110">
        <f>VLOOKUP($A888,MATMO,4,FALSE)*$Q$7</f>
        <v>46.87</v>
      </c>
      <c r="I888" s="354" t="str">
        <f t="shared" si="167"/>
        <v>hs</v>
      </c>
      <c r="J888" s="350">
        <f t="shared" si="168"/>
        <v>9.3740000000000006</v>
      </c>
      <c r="K888" s="360" t="s">
        <v>2299</v>
      </c>
      <c r="L888" s="20"/>
      <c r="O888" s="27" t="s">
        <v>1527</v>
      </c>
      <c r="P888" s="110">
        <v>0</v>
      </c>
    </row>
    <row r="889" spans="1:19">
      <c r="A889" s="14" t="s">
        <v>2311</v>
      </c>
      <c r="D889" s="18">
        <v>3</v>
      </c>
      <c r="E889" s="26" t="str">
        <f>VLOOKUP($A889,MATMO,2,FALSE)</f>
        <v>Cargas Sociales Oficial</v>
      </c>
      <c r="F889" s="311">
        <f>+F887</f>
        <v>0.9</v>
      </c>
      <c r="G889" s="307" t="str">
        <f>VLOOKUP($A889,MATMO,3,FALSE)</f>
        <v>hs</v>
      </c>
      <c r="H889" s="110">
        <f>VLOOKUP($A889,MATMO,4,FALSE)*$Q$7</f>
        <v>52.742782499999997</v>
      </c>
      <c r="I889" s="354" t="str">
        <f t="shared" si="167"/>
        <v>hs</v>
      </c>
      <c r="J889" s="350">
        <f t="shared" si="168"/>
        <v>47.468504249999995</v>
      </c>
      <c r="K889" s="360" t="s">
        <v>2299</v>
      </c>
      <c r="L889" s="20"/>
      <c r="O889" s="27"/>
      <c r="P889" s="110">
        <v>0</v>
      </c>
    </row>
    <row r="890" spans="1:19">
      <c r="A890" s="14" t="s">
        <v>2312</v>
      </c>
      <c r="D890" s="18">
        <v>4</v>
      </c>
      <c r="E890" s="26" t="str">
        <f>VLOOKUP($A890,MATMO,2,FALSE)</f>
        <v>Cargas Sociales Ayudante</v>
      </c>
      <c r="F890" s="311">
        <f>+F888</f>
        <v>0.2</v>
      </c>
      <c r="G890" s="307" t="str">
        <f>VLOOKUP($A890,MATMO,3,FALSE)</f>
        <v>hs</v>
      </c>
      <c r="H890" s="110">
        <f>VLOOKUP($A890,MATMO,4,FALSE)*$Q$7</f>
        <v>45.108248750000001</v>
      </c>
      <c r="I890" s="354" t="str">
        <f t="shared" si="167"/>
        <v>hs</v>
      </c>
      <c r="J890" s="350">
        <f t="shared" si="168"/>
        <v>9.0216497499999999</v>
      </c>
      <c r="K890" s="360" t="s">
        <v>2299</v>
      </c>
      <c r="L890" s="20"/>
      <c r="O890" s="27"/>
      <c r="P890" s="110">
        <v>0</v>
      </c>
    </row>
    <row r="891" spans="1:19" ht="16.5" thickBot="1">
      <c r="A891" s="14" t="s">
        <v>83</v>
      </c>
      <c r="D891" s="18">
        <v>5</v>
      </c>
      <c r="E891" s="26" t="str">
        <f>VLOOKUP($A891,MATMO,2,FALSE)</f>
        <v>-</v>
      </c>
      <c r="F891" s="311"/>
      <c r="G891" s="307" t="str">
        <f>VLOOKUP($A891,MATMO,3,FALSE)</f>
        <v>-</v>
      </c>
      <c r="H891" s="110">
        <f>VLOOKUP($A891,MATMO,4,FALSE)*$Q$7</f>
        <v>0</v>
      </c>
      <c r="I891" s="537" t="str">
        <f t="shared" si="167"/>
        <v>-</v>
      </c>
      <c r="J891" s="538">
        <f t="shared" si="168"/>
        <v>0</v>
      </c>
      <c r="K891" s="539" t="s">
        <v>2299</v>
      </c>
      <c r="L891" s="20"/>
      <c r="O891" s="27"/>
      <c r="P891" s="110">
        <v>0</v>
      </c>
      <c r="R891" s="29" t="s">
        <v>2307</v>
      </c>
    </row>
    <row r="892" spans="1:19" ht="16.5" thickBot="1">
      <c r="A892" s="14">
        <f>A852+1</f>
        <v>19</v>
      </c>
      <c r="B892" s="14" t="str">
        <f>"MO" &amp; TEXT(A892,"##000")</f>
        <v>MO019</v>
      </c>
      <c r="D892" s="18"/>
      <c r="E892" s="591" t="s">
        <v>2301</v>
      </c>
      <c r="F892" s="592"/>
      <c r="G892" s="592"/>
      <c r="H892" s="592"/>
      <c r="I892" s="327"/>
      <c r="J892" s="362">
        <f>SUM(J887:J891)</f>
        <v>115.706154</v>
      </c>
      <c r="K892" s="365" t="str">
        <f>+G887</f>
        <v>hs</v>
      </c>
      <c r="L892" s="20"/>
      <c r="N892" s="111">
        <f>+P892+R892</f>
        <v>0</v>
      </c>
      <c r="O892" s="27"/>
      <c r="P892" s="27">
        <f>SUM(P885:P891)</f>
        <v>0</v>
      </c>
      <c r="Q892" s="26">
        <v>0.9</v>
      </c>
      <c r="R892" s="287">
        <f>+Q892*P892</f>
        <v>0</v>
      </c>
      <c r="S892" s="288"/>
    </row>
    <row r="893" spans="1:19">
      <c r="D893" s="18"/>
      <c r="E893" s="593" t="s">
        <v>101</v>
      </c>
      <c r="F893" s="594"/>
      <c r="G893" s="594"/>
      <c r="H893" s="594"/>
      <c r="I893" s="594"/>
      <c r="J893" s="595"/>
      <c r="K893" s="347"/>
      <c r="L893" s="20"/>
      <c r="P893" s="14" t="s">
        <v>2308</v>
      </c>
    </row>
    <row r="894" spans="1:19">
      <c r="A894" s="14" t="s">
        <v>119</v>
      </c>
      <c r="D894" s="18">
        <v>1</v>
      </c>
      <c r="E894" s="26" t="str">
        <f>VLOOKUP($A894,MATMO,2,FALSE)</f>
        <v>Herramientas de Mano</v>
      </c>
      <c r="F894" s="311">
        <v>1</v>
      </c>
      <c r="G894" s="307" t="str">
        <f>VLOOKUP($A894,MATMO,3,FALSE)</f>
        <v>gl</v>
      </c>
      <c r="H894" s="110">
        <f>+(J885+J892)*$Q$5</f>
        <v>14.659919524617999</v>
      </c>
      <c r="I894" s="345" t="str">
        <f>+G894</f>
        <v>gl</v>
      </c>
      <c r="J894" s="350">
        <f t="shared" ref="J894:J898" si="169">+H894*F894</f>
        <v>14.659919524617999</v>
      </c>
      <c r="K894" s="360" t="s">
        <v>2299</v>
      </c>
      <c r="L894" s="20"/>
      <c r="M894" s="14" t="s">
        <v>2004</v>
      </c>
    </row>
    <row r="895" spans="1:19">
      <c r="A895" s="14" t="s">
        <v>121</v>
      </c>
      <c r="D895" s="18">
        <v>2</v>
      </c>
      <c r="E895" s="26" t="str">
        <f>VLOOKUP($A895,MATMO,2,FALSE)</f>
        <v>Hormigonera</v>
      </c>
      <c r="F895" s="311">
        <v>0.1</v>
      </c>
      <c r="G895" s="307" t="str">
        <f>VLOOKUP($A895,MATMO,3,FALSE)</f>
        <v>hs</v>
      </c>
      <c r="H895" s="110">
        <f>VLOOKUP($A895,MATMO,4,FALSE)*$Q$6</f>
        <v>301.3085399449036</v>
      </c>
      <c r="I895" s="345" t="str">
        <f t="shared" ref="I895:I898" si="170">+G895</f>
        <v>hs</v>
      </c>
      <c r="J895" s="350">
        <f t="shared" si="169"/>
        <v>30.130853994490362</v>
      </c>
      <c r="K895" s="360" t="s">
        <v>2299</v>
      </c>
      <c r="L895" s="20"/>
    </row>
    <row r="896" spans="1:19">
      <c r="A896" s="14" t="s">
        <v>118</v>
      </c>
      <c r="D896" s="18">
        <v>3</v>
      </c>
      <c r="E896" s="26" t="str">
        <f>VLOOKUP($A896,MATMO,2,FALSE)</f>
        <v>-</v>
      </c>
      <c r="F896" s="311"/>
      <c r="G896" s="307" t="str">
        <f>VLOOKUP($A896,MATMO,3,FALSE)</f>
        <v>-</v>
      </c>
      <c r="H896" s="110">
        <f>VLOOKUP($A896,MATMO,4,FALSE)*$Q$6</f>
        <v>0</v>
      </c>
      <c r="I896" s="543" t="str">
        <f t="shared" si="170"/>
        <v>-</v>
      </c>
      <c r="J896" s="538">
        <f t="shared" si="169"/>
        <v>0</v>
      </c>
      <c r="K896" s="539" t="s">
        <v>2299</v>
      </c>
      <c r="L896" s="20"/>
    </row>
    <row r="897" spans="1:13">
      <c r="A897" s="14" t="s">
        <v>118</v>
      </c>
      <c r="D897" s="18">
        <v>4</v>
      </c>
      <c r="E897" s="26" t="str">
        <f>VLOOKUP($A897,MATMO,2,FALSE)</f>
        <v>-</v>
      </c>
      <c r="F897" s="311"/>
      <c r="G897" s="307" t="str">
        <f>VLOOKUP($A897,MATMO,3,FALSE)</f>
        <v>-</v>
      </c>
      <c r="H897" s="110">
        <f>VLOOKUP($A897,MATMO,4,FALSE)*$Q$6</f>
        <v>0</v>
      </c>
      <c r="I897" s="543" t="str">
        <f t="shared" si="170"/>
        <v>-</v>
      </c>
      <c r="J897" s="538">
        <f t="shared" si="169"/>
        <v>0</v>
      </c>
      <c r="K897" s="539" t="s">
        <v>2299</v>
      </c>
      <c r="L897" s="20"/>
    </row>
    <row r="898" spans="1:13">
      <c r="A898" s="14" t="s">
        <v>118</v>
      </c>
      <c r="D898" s="18">
        <v>5</v>
      </c>
      <c r="E898" s="26" t="str">
        <f>VLOOKUP($A898,MATMO,2,FALSE)</f>
        <v>-</v>
      </c>
      <c r="F898" s="311"/>
      <c r="G898" s="307" t="str">
        <f>VLOOKUP($A898,MATMO,3,FALSE)</f>
        <v>-</v>
      </c>
      <c r="H898" s="110">
        <f>VLOOKUP($A898,MATMO,4,FALSE)*$Q$6</f>
        <v>0</v>
      </c>
      <c r="I898" s="543" t="str">
        <f t="shared" si="170"/>
        <v>-</v>
      </c>
      <c r="J898" s="538">
        <f t="shared" si="169"/>
        <v>0</v>
      </c>
      <c r="K898" s="539" t="s">
        <v>2299</v>
      </c>
      <c r="L898" s="20"/>
    </row>
    <row r="899" spans="1:13">
      <c r="A899" s="14">
        <f>A852+1</f>
        <v>19</v>
      </c>
      <c r="B899" s="14" t="str">
        <f>"E" &amp; TEXT(A899,"##000")</f>
        <v>E019</v>
      </c>
      <c r="D899" s="18"/>
      <c r="E899" s="591" t="s">
        <v>2300</v>
      </c>
      <c r="F899" s="592"/>
      <c r="G899" s="592"/>
      <c r="H899" s="592"/>
      <c r="I899" s="327"/>
      <c r="J899" s="362">
        <f>SUM(J894:J898)</f>
        <v>44.790773519108363</v>
      </c>
      <c r="K899" s="365" t="s">
        <v>116</v>
      </c>
      <c r="L899" s="20"/>
    </row>
    <row r="900" spans="1:13">
      <c r="D900" s="18"/>
      <c r="E900" s="596"/>
      <c r="F900" s="597"/>
      <c r="G900" s="597"/>
      <c r="H900" s="597"/>
      <c r="I900" s="597"/>
      <c r="J900" s="598"/>
      <c r="K900" s="348"/>
      <c r="L900" s="20"/>
    </row>
    <row r="901" spans="1:13">
      <c r="D901" s="18"/>
      <c r="E901" s="591" t="s">
        <v>2306</v>
      </c>
      <c r="F901" s="592"/>
      <c r="G901" s="592"/>
      <c r="H901" s="592"/>
      <c r="I901" s="327"/>
      <c r="J901" s="308">
        <f>+J899+J892+J885</f>
        <v>411.28876163455834</v>
      </c>
      <c r="K901" s="365" t="str">
        <f>+F862</f>
        <v>m2</v>
      </c>
      <c r="L901" s="20"/>
    </row>
    <row r="902" spans="1:13">
      <c r="D902" s="18"/>
      <c r="E902" s="591" t="s">
        <v>2305</v>
      </c>
      <c r="F902" s="592"/>
      <c r="G902" s="592"/>
      <c r="H902" s="592"/>
      <c r="I902" s="406">
        <f>+$Q$9</f>
        <v>1.6902999999999999</v>
      </c>
      <c r="J902" s="308">
        <f>+$Q$9*J901</f>
        <v>695.20139379089392</v>
      </c>
      <c r="K902" s="365" t="str">
        <f>+F862</f>
        <v>m2</v>
      </c>
      <c r="L902" s="20"/>
    </row>
    <row r="903" spans="1:13">
      <c r="A903" s="14">
        <f>A856+1</f>
        <v>19</v>
      </c>
      <c r="B903" s="14" t="str">
        <f>"TR" &amp; TEXT(A903,"##000")</f>
        <v>TR019</v>
      </c>
      <c r="C903" s="14">
        <f>+C856+1</f>
        <v>19</v>
      </c>
      <c r="D903" s="18"/>
      <c r="E903" s="591" t="s">
        <v>2304</v>
      </c>
      <c r="F903" s="592"/>
      <c r="G903" s="592"/>
      <c r="H903" s="592"/>
      <c r="I903" s="327"/>
      <c r="J903" s="308">
        <f>+J902</f>
        <v>695.20139379089392</v>
      </c>
      <c r="K903" s="365" t="str">
        <f>+F862</f>
        <v>m2</v>
      </c>
      <c r="L903" s="20"/>
    </row>
    <row r="904" spans="1:13" ht="16.5" thickBot="1">
      <c r="D904" s="21"/>
      <c r="E904" s="30"/>
      <c r="F904" s="30"/>
      <c r="G904" s="30"/>
      <c r="H904" s="30"/>
      <c r="I904" s="30"/>
      <c r="J904" s="30"/>
      <c r="K904" s="349"/>
      <c r="L904" s="22"/>
    </row>
    <row r="905" spans="1:13" ht="16.5" thickTop="1">
      <c r="D905" s="15"/>
      <c r="E905" s="16"/>
      <c r="F905" s="16"/>
      <c r="G905" s="16"/>
      <c r="H905" s="16"/>
      <c r="I905" s="16"/>
      <c r="J905" s="16"/>
      <c r="K905" s="16"/>
      <c r="L905" s="17"/>
    </row>
    <row r="906" spans="1:13">
      <c r="A906" s="14" t="s">
        <v>1833</v>
      </c>
      <c r="D906" s="18"/>
      <c r="E906" s="23" t="s">
        <v>95</v>
      </c>
      <c r="F906" s="24" t="str">
        <f>VLOOKUP($A906,DATRUB,3,FALSE)</f>
        <v>RUBRO IV:</v>
      </c>
      <c r="G906" s="599" t="str">
        <f>VLOOKUP($A906,DATRUB,4,FALSE)</f>
        <v>ALBAÑILERÍA</v>
      </c>
      <c r="H906" s="599"/>
      <c r="I906" s="599"/>
      <c r="J906" s="599"/>
      <c r="K906" s="599"/>
      <c r="L906" s="20"/>
    </row>
    <row r="907" spans="1:13" ht="35.1" customHeight="1">
      <c r="A907" s="14" t="s">
        <v>1837</v>
      </c>
      <c r="D907" s="18"/>
      <c r="E907" s="23" t="s">
        <v>96</v>
      </c>
      <c r="F907" s="399">
        <f>VLOOKUP($A907,DATRUB,3,FALSE)</f>
        <v>4.4000000000000004</v>
      </c>
      <c r="G907" s="599" t="str">
        <f>VLOOKUP($A907,DATRUB,4,FALSE)</f>
        <v>Capa Aisladora</v>
      </c>
      <c r="H907" s="599"/>
      <c r="I907" s="599"/>
      <c r="J907" s="599"/>
      <c r="K907" s="599"/>
      <c r="L907" s="20"/>
    </row>
    <row r="908" spans="1:13" ht="35.1" customHeight="1">
      <c r="A908" s="14" t="s">
        <v>1837</v>
      </c>
      <c r="D908" s="18"/>
      <c r="E908" s="23" t="s">
        <v>97</v>
      </c>
      <c r="F908" s="399">
        <f>VLOOKUP($A908,DATRUB,3,FALSE)</f>
        <v>4.4000000000000004</v>
      </c>
      <c r="G908" s="599" t="str">
        <f>VLOOKUP($A908,DATRUB,4,FALSE)</f>
        <v>Capa Aisladora</v>
      </c>
      <c r="H908" s="599"/>
      <c r="I908" s="599"/>
      <c r="J908" s="599"/>
      <c r="K908" s="599"/>
      <c r="L908" s="20"/>
    </row>
    <row r="909" spans="1:13">
      <c r="D909" s="18"/>
      <c r="E909" s="23" t="s">
        <v>98</v>
      </c>
      <c r="F909" s="24" t="str">
        <f>VLOOKUP($A908,DATRUB,5,FALSE)</f>
        <v>m2</v>
      </c>
      <c r="G909" s="600"/>
      <c r="H909" s="600"/>
      <c r="I909" s="600"/>
      <c r="J909" s="600"/>
      <c r="K909" s="600"/>
      <c r="L909" s="20"/>
    </row>
    <row r="910" spans="1:13">
      <c r="D910" s="18"/>
      <c r="E910" s="24" t="s">
        <v>1158</v>
      </c>
      <c r="F910" s="25" t="s">
        <v>1250</v>
      </c>
      <c r="G910" s="24" t="s">
        <v>24</v>
      </c>
      <c r="H910" s="24" t="s">
        <v>25</v>
      </c>
      <c r="I910" s="24" t="s">
        <v>24</v>
      </c>
      <c r="J910" s="24" t="s">
        <v>2298</v>
      </c>
      <c r="K910" s="24" t="s">
        <v>24</v>
      </c>
      <c r="L910" s="20"/>
    </row>
    <row r="911" spans="1:13">
      <c r="D911" s="18"/>
      <c r="E911" s="593" t="s">
        <v>99</v>
      </c>
      <c r="F911" s="594"/>
      <c r="G911" s="594"/>
      <c r="H911" s="594"/>
      <c r="I911" s="594"/>
      <c r="J911" s="594"/>
      <c r="K911" s="595"/>
      <c r="L911" s="20"/>
    </row>
    <row r="912" spans="1:13">
      <c r="A912" s="14" t="s">
        <v>2366</v>
      </c>
      <c r="D912" s="18">
        <v>1</v>
      </c>
      <c r="E912" s="355" t="str">
        <f t="shared" ref="E912:E931" si="171">VLOOKUP($A912,MATMO,2,FALSE)</f>
        <v>Arena</v>
      </c>
      <c r="F912" s="400">
        <v>0.03</v>
      </c>
      <c r="G912" s="357" t="str">
        <f t="shared" ref="G912:G931" si="172">VLOOKUP($A912,MATMO,3,FALSE)</f>
        <v>m³</v>
      </c>
      <c r="H912" s="358">
        <f t="shared" ref="H912:H931" si="173">VLOOKUP($A912,MATMO,4,FALSE)*$Q$6</f>
        <v>170</v>
      </c>
      <c r="I912" s="359" t="str">
        <f t="shared" ref="I912:I931" si="174">+G912</f>
        <v>m³</v>
      </c>
      <c r="J912" s="361">
        <f>+H912*F912</f>
        <v>5.0999999999999996</v>
      </c>
      <c r="K912" s="360" t="s">
        <v>2299</v>
      </c>
      <c r="L912" s="20"/>
      <c r="M912" s="14" t="s">
        <v>2005</v>
      </c>
    </row>
    <row r="913" spans="1:12">
      <c r="A913" s="14" t="s">
        <v>2365</v>
      </c>
      <c r="D913" s="18">
        <v>2</v>
      </c>
      <c r="E913" s="26" t="str">
        <f t="shared" si="171"/>
        <v>Cemento Puzolanico</v>
      </c>
      <c r="F913" s="400">
        <v>6</v>
      </c>
      <c r="G913" s="307" t="str">
        <f t="shared" si="172"/>
        <v>kg</v>
      </c>
      <c r="H913" s="351">
        <f t="shared" si="173"/>
        <v>2.0474999999999999</v>
      </c>
      <c r="I913" s="354" t="str">
        <f t="shared" si="174"/>
        <v>kg</v>
      </c>
      <c r="J913" s="350">
        <f t="shared" ref="J913:J931" si="175">+H913*F913</f>
        <v>12.285</v>
      </c>
      <c r="K913" s="360" t="s">
        <v>2299</v>
      </c>
      <c r="L913" s="20"/>
    </row>
    <row r="914" spans="1:12">
      <c r="A914" s="14" t="s">
        <v>2376</v>
      </c>
      <c r="D914" s="18">
        <v>3</v>
      </c>
      <c r="E914" s="26" t="str">
        <f t="shared" si="171"/>
        <v>Reglas Metálicas/Madera</v>
      </c>
      <c r="F914" s="400">
        <v>0.1</v>
      </c>
      <c r="G914" s="307" t="str">
        <f t="shared" si="172"/>
        <v>gl</v>
      </c>
      <c r="H914" s="351">
        <f t="shared" si="173"/>
        <v>10</v>
      </c>
      <c r="I914" s="354" t="str">
        <f t="shared" si="174"/>
        <v>gl</v>
      </c>
      <c r="J914" s="350">
        <f t="shared" si="175"/>
        <v>1</v>
      </c>
      <c r="K914" s="360" t="s">
        <v>2299</v>
      </c>
      <c r="L914" s="20"/>
    </row>
    <row r="915" spans="1:12">
      <c r="A915" s="14" t="s">
        <v>2377</v>
      </c>
      <c r="D915" s="18">
        <v>4</v>
      </c>
      <c r="E915" s="26" t="str">
        <f t="shared" si="171"/>
        <v>Hidrófugo</v>
      </c>
      <c r="F915" s="400">
        <v>0.35</v>
      </c>
      <c r="G915" s="307" t="str">
        <f t="shared" si="172"/>
        <v>lts</v>
      </c>
      <c r="H915" s="411">
        <f t="shared" si="173"/>
        <v>9.5</v>
      </c>
      <c r="I915" s="354" t="str">
        <f t="shared" si="174"/>
        <v>lts</v>
      </c>
      <c r="J915" s="350">
        <f t="shared" si="175"/>
        <v>3.3249999999999997</v>
      </c>
      <c r="K915" s="360" t="s">
        <v>2299</v>
      </c>
      <c r="L915" s="20"/>
    </row>
    <row r="916" spans="1:12">
      <c r="A916" s="14" t="s">
        <v>31</v>
      </c>
      <c r="D916" s="18">
        <v>5</v>
      </c>
      <c r="E916" s="26" t="str">
        <f t="shared" si="171"/>
        <v>-</v>
      </c>
      <c r="F916" s="311"/>
      <c r="G916" s="307" t="str">
        <f t="shared" si="172"/>
        <v>-</v>
      </c>
      <c r="H916" s="351">
        <f t="shared" si="173"/>
        <v>0</v>
      </c>
      <c r="I916" s="537" t="str">
        <f t="shared" si="174"/>
        <v>-</v>
      </c>
      <c r="J916" s="538">
        <f t="shared" si="175"/>
        <v>0</v>
      </c>
      <c r="K916" s="539" t="s">
        <v>2299</v>
      </c>
      <c r="L916" s="20"/>
    </row>
    <row r="917" spans="1:12">
      <c r="A917" s="14" t="s">
        <v>31</v>
      </c>
      <c r="D917" s="18">
        <v>6</v>
      </c>
      <c r="E917" s="26" t="str">
        <f t="shared" si="171"/>
        <v>-</v>
      </c>
      <c r="F917" s="311"/>
      <c r="G917" s="307" t="str">
        <f t="shared" si="172"/>
        <v>-</v>
      </c>
      <c r="H917" s="351">
        <f t="shared" si="173"/>
        <v>0</v>
      </c>
      <c r="I917" s="537" t="str">
        <f t="shared" si="174"/>
        <v>-</v>
      </c>
      <c r="J917" s="538">
        <f t="shared" si="175"/>
        <v>0</v>
      </c>
      <c r="K917" s="539" t="s">
        <v>2299</v>
      </c>
      <c r="L917" s="20"/>
    </row>
    <row r="918" spans="1:12">
      <c r="A918" s="14" t="s">
        <v>31</v>
      </c>
      <c r="D918" s="18">
        <v>7</v>
      </c>
      <c r="E918" s="26" t="str">
        <f t="shared" si="171"/>
        <v>-</v>
      </c>
      <c r="F918" s="311"/>
      <c r="G918" s="307" t="str">
        <f t="shared" si="172"/>
        <v>-</v>
      </c>
      <c r="H918" s="351">
        <f t="shared" si="173"/>
        <v>0</v>
      </c>
      <c r="I918" s="537" t="str">
        <f t="shared" si="174"/>
        <v>-</v>
      </c>
      <c r="J918" s="538">
        <f t="shared" si="175"/>
        <v>0</v>
      </c>
      <c r="K918" s="539" t="s">
        <v>2299</v>
      </c>
      <c r="L918" s="20"/>
    </row>
    <row r="919" spans="1:12">
      <c r="A919" s="14" t="s">
        <v>31</v>
      </c>
      <c r="D919" s="18">
        <v>8</v>
      </c>
      <c r="E919" s="26" t="str">
        <f t="shared" si="171"/>
        <v>-</v>
      </c>
      <c r="F919" s="311"/>
      <c r="G919" s="307" t="str">
        <f t="shared" si="172"/>
        <v>-</v>
      </c>
      <c r="H919" s="351">
        <f t="shared" si="173"/>
        <v>0</v>
      </c>
      <c r="I919" s="537" t="str">
        <f t="shared" si="174"/>
        <v>-</v>
      </c>
      <c r="J919" s="538">
        <f t="shared" si="175"/>
        <v>0</v>
      </c>
      <c r="K919" s="539" t="s">
        <v>2299</v>
      </c>
      <c r="L919" s="20"/>
    </row>
    <row r="920" spans="1:12">
      <c r="A920" s="14" t="s">
        <v>31</v>
      </c>
      <c r="D920" s="18">
        <v>9</v>
      </c>
      <c r="E920" s="26" t="str">
        <f t="shared" si="171"/>
        <v>-</v>
      </c>
      <c r="F920" s="311"/>
      <c r="G920" s="307" t="str">
        <f t="shared" si="172"/>
        <v>-</v>
      </c>
      <c r="H920" s="351">
        <f t="shared" si="173"/>
        <v>0</v>
      </c>
      <c r="I920" s="537" t="str">
        <f t="shared" si="174"/>
        <v>-</v>
      </c>
      <c r="J920" s="538">
        <f t="shared" si="175"/>
        <v>0</v>
      </c>
      <c r="K920" s="539" t="s">
        <v>2299</v>
      </c>
      <c r="L920" s="20"/>
    </row>
    <row r="921" spans="1:12">
      <c r="A921" s="14" t="s">
        <v>31</v>
      </c>
      <c r="D921" s="18">
        <v>10</v>
      </c>
      <c r="E921" s="26" t="str">
        <f t="shared" si="171"/>
        <v>-</v>
      </c>
      <c r="F921" s="311"/>
      <c r="G921" s="307" t="str">
        <f t="shared" si="172"/>
        <v>-</v>
      </c>
      <c r="H921" s="351">
        <f t="shared" si="173"/>
        <v>0</v>
      </c>
      <c r="I921" s="537" t="str">
        <f t="shared" si="174"/>
        <v>-</v>
      </c>
      <c r="J921" s="538">
        <f t="shared" si="175"/>
        <v>0</v>
      </c>
      <c r="K921" s="539" t="s">
        <v>2299</v>
      </c>
      <c r="L921" s="20"/>
    </row>
    <row r="922" spans="1:12">
      <c r="A922" s="14" t="s">
        <v>31</v>
      </c>
      <c r="D922" s="18">
        <v>11</v>
      </c>
      <c r="E922" s="26" t="str">
        <f t="shared" si="171"/>
        <v>-</v>
      </c>
      <c r="F922" s="311"/>
      <c r="G922" s="307" t="str">
        <f t="shared" si="172"/>
        <v>-</v>
      </c>
      <c r="H922" s="351">
        <f t="shared" si="173"/>
        <v>0</v>
      </c>
      <c r="I922" s="537" t="str">
        <f t="shared" si="174"/>
        <v>-</v>
      </c>
      <c r="J922" s="538">
        <f t="shared" si="175"/>
        <v>0</v>
      </c>
      <c r="K922" s="539" t="s">
        <v>2299</v>
      </c>
      <c r="L922" s="20"/>
    </row>
    <row r="923" spans="1:12">
      <c r="A923" s="14" t="s">
        <v>31</v>
      </c>
      <c r="D923" s="18">
        <v>12</v>
      </c>
      <c r="E923" s="26" t="str">
        <f t="shared" si="171"/>
        <v>-</v>
      </c>
      <c r="F923" s="311"/>
      <c r="G923" s="307" t="str">
        <f t="shared" si="172"/>
        <v>-</v>
      </c>
      <c r="H923" s="352">
        <f t="shared" si="173"/>
        <v>0</v>
      </c>
      <c r="I923" s="537" t="str">
        <f t="shared" si="174"/>
        <v>-</v>
      </c>
      <c r="J923" s="538">
        <f t="shared" si="175"/>
        <v>0</v>
      </c>
      <c r="K923" s="539" t="s">
        <v>2299</v>
      </c>
      <c r="L923" s="20"/>
    </row>
    <row r="924" spans="1:12">
      <c r="A924" s="14" t="s">
        <v>31</v>
      </c>
      <c r="D924" s="18">
        <v>13</v>
      </c>
      <c r="E924" s="26" t="str">
        <f t="shared" si="171"/>
        <v>-</v>
      </c>
      <c r="F924" s="311"/>
      <c r="G924" s="307" t="str">
        <f t="shared" si="172"/>
        <v>-</v>
      </c>
      <c r="H924" s="352">
        <f t="shared" si="173"/>
        <v>0</v>
      </c>
      <c r="I924" s="537" t="str">
        <f t="shared" si="174"/>
        <v>-</v>
      </c>
      <c r="J924" s="538">
        <f t="shared" si="175"/>
        <v>0</v>
      </c>
      <c r="K924" s="539" t="s">
        <v>2299</v>
      </c>
      <c r="L924" s="20"/>
    </row>
    <row r="925" spans="1:12">
      <c r="A925" s="14" t="s">
        <v>31</v>
      </c>
      <c r="D925" s="18">
        <v>14</v>
      </c>
      <c r="E925" s="26" t="str">
        <f t="shared" si="171"/>
        <v>-</v>
      </c>
      <c r="F925" s="311"/>
      <c r="G925" s="307" t="str">
        <f t="shared" si="172"/>
        <v>-</v>
      </c>
      <c r="H925" s="352">
        <f t="shared" si="173"/>
        <v>0</v>
      </c>
      <c r="I925" s="537" t="str">
        <f t="shared" si="174"/>
        <v>-</v>
      </c>
      <c r="J925" s="538">
        <f t="shared" si="175"/>
        <v>0</v>
      </c>
      <c r="K925" s="539" t="s">
        <v>2299</v>
      </c>
      <c r="L925" s="20"/>
    </row>
    <row r="926" spans="1:12">
      <c r="A926" s="14" t="s">
        <v>31</v>
      </c>
      <c r="D926" s="18">
        <v>15</v>
      </c>
      <c r="E926" s="26" t="str">
        <f t="shared" si="171"/>
        <v>-</v>
      </c>
      <c r="F926" s="311"/>
      <c r="G926" s="307" t="str">
        <f t="shared" si="172"/>
        <v>-</v>
      </c>
      <c r="H926" s="352">
        <f t="shared" si="173"/>
        <v>0</v>
      </c>
      <c r="I926" s="537" t="str">
        <f t="shared" si="174"/>
        <v>-</v>
      </c>
      <c r="J926" s="538">
        <f t="shared" si="175"/>
        <v>0</v>
      </c>
      <c r="K926" s="539" t="s">
        <v>2299</v>
      </c>
      <c r="L926" s="20"/>
    </row>
    <row r="927" spans="1:12">
      <c r="A927" s="14" t="s">
        <v>31</v>
      </c>
      <c r="D927" s="18">
        <v>16</v>
      </c>
      <c r="E927" s="26" t="str">
        <f t="shared" si="171"/>
        <v>-</v>
      </c>
      <c r="F927" s="311"/>
      <c r="G927" s="307" t="str">
        <f t="shared" si="172"/>
        <v>-</v>
      </c>
      <c r="H927" s="352">
        <f t="shared" si="173"/>
        <v>0</v>
      </c>
      <c r="I927" s="537" t="str">
        <f t="shared" si="174"/>
        <v>-</v>
      </c>
      <c r="J927" s="538">
        <f t="shared" si="175"/>
        <v>0</v>
      </c>
      <c r="K927" s="539" t="s">
        <v>2299</v>
      </c>
      <c r="L927" s="20"/>
    </row>
    <row r="928" spans="1:12">
      <c r="A928" s="14" t="s">
        <v>31</v>
      </c>
      <c r="D928" s="18">
        <v>17</v>
      </c>
      <c r="E928" s="26" t="str">
        <f t="shared" si="171"/>
        <v>-</v>
      </c>
      <c r="F928" s="311"/>
      <c r="G928" s="307" t="str">
        <f t="shared" si="172"/>
        <v>-</v>
      </c>
      <c r="H928" s="352">
        <f t="shared" si="173"/>
        <v>0</v>
      </c>
      <c r="I928" s="537" t="str">
        <f t="shared" si="174"/>
        <v>-</v>
      </c>
      <c r="J928" s="538">
        <f t="shared" si="175"/>
        <v>0</v>
      </c>
      <c r="K928" s="539" t="s">
        <v>2299</v>
      </c>
      <c r="L928" s="20"/>
    </row>
    <row r="929" spans="1:19">
      <c r="A929" s="14" t="s">
        <v>31</v>
      </c>
      <c r="D929" s="18">
        <v>18</v>
      </c>
      <c r="E929" s="26" t="str">
        <f t="shared" si="171"/>
        <v>-</v>
      </c>
      <c r="F929" s="311"/>
      <c r="G929" s="307" t="str">
        <f t="shared" si="172"/>
        <v>-</v>
      </c>
      <c r="H929" s="352">
        <f t="shared" si="173"/>
        <v>0</v>
      </c>
      <c r="I929" s="537" t="str">
        <f t="shared" si="174"/>
        <v>-</v>
      </c>
      <c r="J929" s="538">
        <f t="shared" si="175"/>
        <v>0</v>
      </c>
      <c r="K929" s="539" t="s">
        <v>2299</v>
      </c>
      <c r="L929" s="20"/>
    </row>
    <row r="930" spans="1:19">
      <c r="A930" s="14" t="s">
        <v>31</v>
      </c>
      <c r="D930" s="18">
        <v>19</v>
      </c>
      <c r="E930" s="26" t="str">
        <f t="shared" si="171"/>
        <v>-</v>
      </c>
      <c r="F930" s="311"/>
      <c r="G930" s="307" t="str">
        <f t="shared" si="172"/>
        <v>-</v>
      </c>
      <c r="H930" s="352">
        <f t="shared" si="173"/>
        <v>0</v>
      </c>
      <c r="I930" s="537" t="str">
        <f t="shared" si="174"/>
        <v>-</v>
      </c>
      <c r="J930" s="538">
        <f t="shared" si="175"/>
        <v>0</v>
      </c>
      <c r="K930" s="539" t="s">
        <v>2299</v>
      </c>
      <c r="L930" s="20"/>
    </row>
    <row r="931" spans="1:19">
      <c r="A931" s="14" t="s">
        <v>31</v>
      </c>
      <c r="D931" s="18">
        <v>20</v>
      </c>
      <c r="E931" s="26" t="str">
        <f t="shared" si="171"/>
        <v>-</v>
      </c>
      <c r="F931" s="311"/>
      <c r="G931" s="307" t="str">
        <f t="shared" si="172"/>
        <v>-</v>
      </c>
      <c r="H931" s="352">
        <f t="shared" si="173"/>
        <v>0</v>
      </c>
      <c r="I931" s="537" t="str">
        <f t="shared" si="174"/>
        <v>-</v>
      </c>
      <c r="J931" s="541">
        <f t="shared" si="175"/>
        <v>0</v>
      </c>
      <c r="K931" s="539" t="s">
        <v>2299</v>
      </c>
      <c r="L931" s="20"/>
    </row>
    <row r="932" spans="1:19">
      <c r="A932" s="14">
        <f>A899+1</f>
        <v>20</v>
      </c>
      <c r="B932" s="14" t="str">
        <f>"MA" &amp; TEXT(A932,"##000")</f>
        <v>MA020</v>
      </c>
      <c r="D932" s="18"/>
      <c r="E932" s="591" t="s">
        <v>2302</v>
      </c>
      <c r="F932" s="592"/>
      <c r="G932" s="592"/>
      <c r="H932" s="592"/>
      <c r="I932" s="327"/>
      <c r="J932" s="353">
        <f>SUM(J912:J931)</f>
        <v>21.709999999999997</v>
      </c>
      <c r="K932" s="365" t="str">
        <f>+F909</f>
        <v>m2</v>
      </c>
      <c r="L932" s="20"/>
      <c r="O932" s="27" t="s">
        <v>1525</v>
      </c>
      <c r="P932" s="110">
        <v>25</v>
      </c>
    </row>
    <row r="933" spans="1:19">
      <c r="D933" s="18"/>
      <c r="E933" s="593" t="s">
        <v>100</v>
      </c>
      <c r="F933" s="594"/>
      <c r="G933" s="594"/>
      <c r="H933" s="594"/>
      <c r="I933" s="594"/>
      <c r="J933" s="595"/>
      <c r="K933" s="347"/>
      <c r="L933" s="20"/>
      <c r="O933" s="27" t="s">
        <v>1524</v>
      </c>
      <c r="P933" s="110">
        <v>0</v>
      </c>
    </row>
    <row r="934" spans="1:19">
      <c r="A934" s="14" t="s">
        <v>84</v>
      </c>
      <c r="D934" s="18">
        <v>1</v>
      </c>
      <c r="E934" s="26" t="str">
        <f>VLOOKUP($A934,MATMO,2,FALSE)</f>
        <v>Oficial</v>
      </c>
      <c r="F934" s="311">
        <v>0.4</v>
      </c>
      <c r="G934" s="307" t="str">
        <f>VLOOKUP($A934,MATMO,3,FALSE)</f>
        <v>hs</v>
      </c>
      <c r="H934" s="110">
        <f>VLOOKUP($A934,MATMO,4,FALSE)*$Q$7</f>
        <v>55.38</v>
      </c>
      <c r="I934" s="354" t="str">
        <f t="shared" ref="I934:I938" si="176">+G934</f>
        <v>hs</v>
      </c>
      <c r="J934" s="350">
        <f t="shared" ref="J934:J938" si="177">+H934*F934</f>
        <v>22.152000000000001</v>
      </c>
      <c r="K934" s="360" t="s">
        <v>2299</v>
      </c>
      <c r="L934" s="20"/>
      <c r="M934" s="14" t="s">
        <v>2006</v>
      </c>
      <c r="O934" s="27" t="s">
        <v>1526</v>
      </c>
      <c r="P934" s="110">
        <v>0</v>
      </c>
    </row>
    <row r="935" spans="1:19">
      <c r="A935" s="14" t="s">
        <v>85</v>
      </c>
      <c r="D935" s="18">
        <v>2</v>
      </c>
      <c r="E935" s="26" t="str">
        <f>VLOOKUP($A935,MATMO,2,FALSE)</f>
        <v>Ayudante</v>
      </c>
      <c r="F935" s="311">
        <v>0.05</v>
      </c>
      <c r="G935" s="307" t="str">
        <f>VLOOKUP($A935,MATMO,3,FALSE)</f>
        <v>hs</v>
      </c>
      <c r="H935" s="110">
        <f>VLOOKUP($A935,MATMO,4,FALSE)*$Q$7</f>
        <v>46.87</v>
      </c>
      <c r="I935" s="354" t="str">
        <f t="shared" si="176"/>
        <v>hs</v>
      </c>
      <c r="J935" s="350">
        <f t="shared" si="177"/>
        <v>2.3435000000000001</v>
      </c>
      <c r="K935" s="360" t="s">
        <v>2299</v>
      </c>
      <c r="L935" s="20"/>
      <c r="O935" s="27" t="s">
        <v>1527</v>
      </c>
      <c r="P935" s="110">
        <v>0</v>
      </c>
    </row>
    <row r="936" spans="1:19">
      <c r="A936" s="14" t="s">
        <v>2311</v>
      </c>
      <c r="D936" s="18">
        <v>3</v>
      </c>
      <c r="E936" s="26" t="str">
        <f>VLOOKUP($A936,MATMO,2,FALSE)</f>
        <v>Cargas Sociales Oficial</v>
      </c>
      <c r="F936" s="311">
        <f>+F934</f>
        <v>0.4</v>
      </c>
      <c r="G936" s="307" t="str">
        <f>VLOOKUP($A936,MATMO,3,FALSE)</f>
        <v>hs</v>
      </c>
      <c r="H936" s="110">
        <f>VLOOKUP($A936,MATMO,4,FALSE)*$Q$7</f>
        <v>52.742782499999997</v>
      </c>
      <c r="I936" s="354" t="str">
        <f t="shared" si="176"/>
        <v>hs</v>
      </c>
      <c r="J936" s="350">
        <f t="shared" si="177"/>
        <v>21.097113</v>
      </c>
      <c r="K936" s="360" t="s">
        <v>2299</v>
      </c>
      <c r="L936" s="20"/>
      <c r="O936" s="27"/>
      <c r="P936" s="110">
        <v>0</v>
      </c>
    </row>
    <row r="937" spans="1:19">
      <c r="A937" s="14" t="s">
        <v>2312</v>
      </c>
      <c r="D937" s="18">
        <v>4</v>
      </c>
      <c r="E937" s="26" t="str">
        <f>VLOOKUP($A937,MATMO,2,FALSE)</f>
        <v>Cargas Sociales Ayudante</v>
      </c>
      <c r="F937" s="311">
        <f>+F935</f>
        <v>0.05</v>
      </c>
      <c r="G937" s="307" t="str">
        <f>VLOOKUP($A937,MATMO,3,FALSE)</f>
        <v>hs</v>
      </c>
      <c r="H937" s="110">
        <f>VLOOKUP($A937,MATMO,4,FALSE)*$Q$7</f>
        <v>45.108248750000001</v>
      </c>
      <c r="I937" s="354" t="str">
        <f t="shared" si="176"/>
        <v>hs</v>
      </c>
      <c r="J937" s="350">
        <f t="shared" si="177"/>
        <v>2.2554124375</v>
      </c>
      <c r="K937" s="360" t="s">
        <v>2299</v>
      </c>
      <c r="L937" s="20"/>
      <c r="O937" s="27"/>
      <c r="P937" s="110">
        <v>0</v>
      </c>
    </row>
    <row r="938" spans="1:19" ht="16.5" thickBot="1">
      <c r="A938" s="14" t="s">
        <v>83</v>
      </c>
      <c r="D938" s="18">
        <v>5</v>
      </c>
      <c r="E938" s="26" t="str">
        <f>VLOOKUP($A938,MATMO,2,FALSE)</f>
        <v>-</v>
      </c>
      <c r="F938" s="311"/>
      <c r="G938" s="307" t="str">
        <f>VLOOKUP($A938,MATMO,3,FALSE)</f>
        <v>-</v>
      </c>
      <c r="H938" s="110">
        <f>VLOOKUP($A938,MATMO,4,FALSE)*$Q$7</f>
        <v>0</v>
      </c>
      <c r="I938" s="537" t="str">
        <f t="shared" si="176"/>
        <v>-</v>
      </c>
      <c r="J938" s="538">
        <f t="shared" si="177"/>
        <v>0</v>
      </c>
      <c r="K938" s="539" t="s">
        <v>2299</v>
      </c>
      <c r="L938" s="20"/>
      <c r="O938" s="27"/>
      <c r="P938" s="110">
        <v>0</v>
      </c>
      <c r="R938" s="29" t="s">
        <v>2307</v>
      </c>
    </row>
    <row r="939" spans="1:19" ht="16.5" thickBot="1">
      <c r="A939" s="14">
        <f>A899+1</f>
        <v>20</v>
      </c>
      <c r="B939" s="14" t="str">
        <f>"MO" &amp; TEXT(A939,"##000")</f>
        <v>MO020</v>
      </c>
      <c r="D939" s="18"/>
      <c r="E939" s="591" t="s">
        <v>2301</v>
      </c>
      <c r="F939" s="592"/>
      <c r="G939" s="592"/>
      <c r="H939" s="592"/>
      <c r="I939" s="327"/>
      <c r="J939" s="362">
        <f>SUM(J934:J938)</f>
        <v>47.848025437499999</v>
      </c>
      <c r="K939" s="365" t="str">
        <f>+G934</f>
        <v>hs</v>
      </c>
      <c r="L939" s="20"/>
      <c r="N939" s="111">
        <f>+P939+R939</f>
        <v>47.5</v>
      </c>
      <c r="O939" s="27"/>
      <c r="P939" s="27">
        <f>SUM(P932:P938)</f>
        <v>25</v>
      </c>
      <c r="Q939" s="26">
        <v>0.9</v>
      </c>
      <c r="R939" s="287">
        <f>+Q939*P939</f>
        <v>22.5</v>
      </c>
      <c r="S939" s="288"/>
    </row>
    <row r="940" spans="1:19">
      <c r="D940" s="18"/>
      <c r="E940" s="593" t="s">
        <v>101</v>
      </c>
      <c r="F940" s="594"/>
      <c r="G940" s="594"/>
      <c r="H940" s="594"/>
      <c r="I940" s="594"/>
      <c r="J940" s="595"/>
      <c r="K940" s="347"/>
      <c r="L940" s="20"/>
      <c r="P940" s="14" t="s">
        <v>2308</v>
      </c>
    </row>
    <row r="941" spans="1:19">
      <c r="A941" s="14" t="s">
        <v>119</v>
      </c>
      <c r="D941" s="18">
        <v>1</v>
      </c>
      <c r="E941" s="26" t="str">
        <f>VLOOKUP($A941,MATMO,2,FALSE)</f>
        <v>Herramientas de Mano</v>
      </c>
      <c r="F941" s="311">
        <v>1</v>
      </c>
      <c r="G941" s="307" t="str">
        <f>VLOOKUP($A941,MATMO,3,FALSE)</f>
        <v>gl</v>
      </c>
      <c r="H941" s="110">
        <f>+(J932+J939)*$Q$5</f>
        <v>2.7823210174999997</v>
      </c>
      <c r="I941" s="345" t="str">
        <f>+G941</f>
        <v>gl</v>
      </c>
      <c r="J941" s="350">
        <f t="shared" ref="J941:J945" si="178">+H941*F941</f>
        <v>2.7823210174999997</v>
      </c>
      <c r="K941" s="360" t="s">
        <v>2299</v>
      </c>
      <c r="L941" s="20"/>
      <c r="M941" s="14" t="s">
        <v>2004</v>
      </c>
    </row>
    <row r="942" spans="1:19">
      <c r="A942" s="14" t="s">
        <v>121</v>
      </c>
      <c r="D942" s="18">
        <v>2</v>
      </c>
      <c r="E942" s="26" t="str">
        <f>VLOOKUP($A942,MATMO,2,FALSE)</f>
        <v>Hormigonera</v>
      </c>
      <c r="F942" s="311">
        <v>0.05</v>
      </c>
      <c r="G942" s="307" t="str">
        <f>VLOOKUP($A942,MATMO,3,FALSE)</f>
        <v>hs</v>
      </c>
      <c r="H942" s="110">
        <f>VLOOKUP($A942,MATMO,4,FALSE)*$Q$6</f>
        <v>301.3085399449036</v>
      </c>
      <c r="I942" s="345" t="str">
        <f t="shared" ref="I942:I945" si="179">+G942</f>
        <v>hs</v>
      </c>
      <c r="J942" s="350">
        <f t="shared" si="178"/>
        <v>15.065426997245181</v>
      </c>
      <c r="K942" s="360" t="s">
        <v>2299</v>
      </c>
      <c r="L942" s="20"/>
    </row>
    <row r="943" spans="1:19">
      <c r="A943" s="14" t="s">
        <v>118</v>
      </c>
      <c r="D943" s="18">
        <v>3</v>
      </c>
      <c r="E943" s="26" t="str">
        <f>VLOOKUP($A943,MATMO,2,FALSE)</f>
        <v>-</v>
      </c>
      <c r="F943" s="311"/>
      <c r="G943" s="307" t="str">
        <f>VLOOKUP($A943,MATMO,3,FALSE)</f>
        <v>-</v>
      </c>
      <c r="H943" s="110">
        <f>VLOOKUP($A943,MATMO,4,FALSE)*$Q$6</f>
        <v>0</v>
      </c>
      <c r="I943" s="543" t="str">
        <f t="shared" si="179"/>
        <v>-</v>
      </c>
      <c r="J943" s="538">
        <f t="shared" si="178"/>
        <v>0</v>
      </c>
      <c r="K943" s="539" t="s">
        <v>2299</v>
      </c>
      <c r="L943" s="20"/>
    </row>
    <row r="944" spans="1:19">
      <c r="A944" s="14" t="s">
        <v>118</v>
      </c>
      <c r="D944" s="18">
        <v>4</v>
      </c>
      <c r="E944" s="26" t="str">
        <f>VLOOKUP($A944,MATMO,2,FALSE)</f>
        <v>-</v>
      </c>
      <c r="F944" s="311"/>
      <c r="G944" s="307" t="str">
        <f>VLOOKUP($A944,MATMO,3,FALSE)</f>
        <v>-</v>
      </c>
      <c r="H944" s="110">
        <f>VLOOKUP($A944,MATMO,4,FALSE)*$Q$6</f>
        <v>0</v>
      </c>
      <c r="I944" s="543" t="str">
        <f t="shared" si="179"/>
        <v>-</v>
      </c>
      <c r="J944" s="538">
        <f t="shared" si="178"/>
        <v>0</v>
      </c>
      <c r="K944" s="539" t="s">
        <v>2299</v>
      </c>
      <c r="L944" s="20"/>
    </row>
    <row r="945" spans="1:13">
      <c r="A945" s="14" t="s">
        <v>118</v>
      </c>
      <c r="D945" s="18">
        <v>5</v>
      </c>
      <c r="E945" s="26" t="str">
        <f>VLOOKUP($A945,MATMO,2,FALSE)</f>
        <v>-</v>
      </c>
      <c r="F945" s="311"/>
      <c r="G945" s="307" t="str">
        <f>VLOOKUP($A945,MATMO,3,FALSE)</f>
        <v>-</v>
      </c>
      <c r="H945" s="110">
        <f>VLOOKUP($A945,MATMO,4,FALSE)*$Q$6</f>
        <v>0</v>
      </c>
      <c r="I945" s="543" t="str">
        <f t="shared" si="179"/>
        <v>-</v>
      </c>
      <c r="J945" s="538">
        <f t="shared" si="178"/>
        <v>0</v>
      </c>
      <c r="K945" s="539" t="s">
        <v>2299</v>
      </c>
      <c r="L945" s="20"/>
    </row>
    <row r="946" spans="1:13">
      <c r="A946" s="14">
        <f>A899+1</f>
        <v>20</v>
      </c>
      <c r="B946" s="14" t="str">
        <f>"E" &amp; TEXT(A946,"##000")</f>
        <v>E020</v>
      </c>
      <c r="D946" s="18"/>
      <c r="E946" s="591" t="s">
        <v>2300</v>
      </c>
      <c r="F946" s="592"/>
      <c r="G946" s="592"/>
      <c r="H946" s="592"/>
      <c r="I946" s="327"/>
      <c r="J946" s="362">
        <f>SUM(J941:J945)</f>
        <v>17.847748014745182</v>
      </c>
      <c r="K946" s="365" t="s">
        <v>116</v>
      </c>
      <c r="L946" s="20"/>
    </row>
    <row r="947" spans="1:13">
      <c r="D947" s="18"/>
      <c r="E947" s="596"/>
      <c r="F947" s="597"/>
      <c r="G947" s="597"/>
      <c r="H947" s="597"/>
      <c r="I947" s="597"/>
      <c r="J947" s="598"/>
      <c r="K947" s="348"/>
      <c r="L947" s="20"/>
    </row>
    <row r="948" spans="1:13">
      <c r="D948" s="18"/>
      <c r="E948" s="591" t="s">
        <v>2306</v>
      </c>
      <c r="F948" s="592"/>
      <c r="G948" s="592"/>
      <c r="H948" s="592"/>
      <c r="I948" s="327"/>
      <c r="J948" s="308">
        <f>+J946+J939+J932</f>
        <v>87.405773452245171</v>
      </c>
      <c r="K948" s="365" t="str">
        <f>+F909</f>
        <v>m2</v>
      </c>
      <c r="L948" s="20"/>
    </row>
    <row r="949" spans="1:13">
      <c r="D949" s="18"/>
      <c r="E949" s="591" t="s">
        <v>2305</v>
      </c>
      <c r="F949" s="592"/>
      <c r="G949" s="592"/>
      <c r="H949" s="592"/>
      <c r="I949" s="406">
        <f>+$Q$9</f>
        <v>1.6902999999999999</v>
      </c>
      <c r="J949" s="308">
        <f>+$Q$9*J948</f>
        <v>147.74197886633002</v>
      </c>
      <c r="K949" s="365" t="str">
        <f>+F909</f>
        <v>m2</v>
      </c>
      <c r="L949" s="20"/>
    </row>
    <row r="950" spans="1:13">
      <c r="A950" s="14">
        <f>A903+1</f>
        <v>20</v>
      </c>
      <c r="B950" s="14" t="str">
        <f>"TR" &amp; TEXT(A950,"##000")</f>
        <v>TR020</v>
      </c>
      <c r="C950" s="14">
        <f>+C903+1</f>
        <v>20</v>
      </c>
      <c r="D950" s="18"/>
      <c r="E950" s="591" t="s">
        <v>2304</v>
      </c>
      <c r="F950" s="592"/>
      <c r="G950" s="592"/>
      <c r="H950" s="592"/>
      <c r="I950" s="327"/>
      <c r="J950" s="308">
        <f>+J949</f>
        <v>147.74197886633002</v>
      </c>
      <c r="K950" s="365" t="str">
        <f>+F909</f>
        <v>m2</v>
      </c>
      <c r="L950" s="20"/>
    </row>
    <row r="951" spans="1:13" ht="16.5" thickBot="1">
      <c r="D951" s="21"/>
      <c r="E951" s="30"/>
      <c r="F951" s="30"/>
      <c r="G951" s="30"/>
      <c r="H951" s="30"/>
      <c r="I951" s="30"/>
      <c r="J951" s="30"/>
      <c r="K951" s="349"/>
      <c r="L951" s="22"/>
    </row>
    <row r="952" spans="1:13" ht="16.5" thickTop="1">
      <c r="D952" s="15"/>
      <c r="E952" s="16"/>
      <c r="F952" s="16"/>
      <c r="G952" s="16"/>
      <c r="H952" s="16"/>
      <c r="I952" s="16"/>
      <c r="J952" s="16"/>
      <c r="K952" s="16"/>
      <c r="L952" s="17"/>
    </row>
    <row r="953" spans="1:13">
      <c r="A953" s="14" t="s">
        <v>1833</v>
      </c>
      <c r="D953" s="18"/>
      <c r="E953" s="23" t="s">
        <v>95</v>
      </c>
      <c r="F953" s="24" t="str">
        <f>VLOOKUP($A953,DATRUB,3,FALSE)</f>
        <v>RUBRO IV:</v>
      </c>
      <c r="G953" s="599" t="str">
        <f>VLOOKUP($A953,DATRUB,4,FALSE)</f>
        <v>ALBAÑILERÍA</v>
      </c>
      <c r="H953" s="599"/>
      <c r="I953" s="599"/>
      <c r="J953" s="599"/>
      <c r="K953" s="599"/>
      <c r="L953" s="20"/>
    </row>
    <row r="954" spans="1:13" ht="35.1" customHeight="1">
      <c r="A954" s="14" t="s">
        <v>1838</v>
      </c>
      <c r="D954" s="18"/>
      <c r="E954" s="23" t="s">
        <v>96</v>
      </c>
      <c r="F954" s="399">
        <f>VLOOKUP($A954,DATRUB,3,FALSE)</f>
        <v>4.5</v>
      </c>
      <c r="G954" s="599" t="str">
        <f>VLOOKUP($A954,DATRUB,4,FALSE)</f>
        <v>Tabiques divisorios en sanitarios</v>
      </c>
      <c r="H954" s="599"/>
      <c r="I954" s="599"/>
      <c r="J954" s="599"/>
      <c r="K954" s="599"/>
      <c r="L954" s="20"/>
    </row>
    <row r="955" spans="1:13" ht="35.1" customHeight="1">
      <c r="A955" s="14" t="s">
        <v>1838</v>
      </c>
      <c r="D955" s="18"/>
      <c r="E955" s="23" t="s">
        <v>97</v>
      </c>
      <c r="F955" s="399">
        <f>VLOOKUP($A955,DATRUB,3,FALSE)</f>
        <v>4.5</v>
      </c>
      <c r="G955" s="599" t="str">
        <f>VLOOKUP($A955,DATRUB,4,FALSE)</f>
        <v>Tabiques divisorios en sanitarios</v>
      </c>
      <c r="H955" s="599"/>
      <c r="I955" s="599"/>
      <c r="J955" s="599"/>
      <c r="K955" s="599"/>
      <c r="L955" s="20"/>
    </row>
    <row r="956" spans="1:13">
      <c r="D956" s="18"/>
      <c r="E956" s="23" t="s">
        <v>98</v>
      </c>
      <c r="F956" s="24" t="str">
        <f>VLOOKUP($A955,DATRUB,5,FALSE)</f>
        <v>m2</v>
      </c>
      <c r="G956" s="600"/>
      <c r="H956" s="600"/>
      <c r="I956" s="600"/>
      <c r="J956" s="600"/>
      <c r="K956" s="600"/>
      <c r="L956" s="20"/>
    </row>
    <row r="957" spans="1:13">
      <c r="D957" s="18"/>
      <c r="E957" s="24" t="s">
        <v>1158</v>
      </c>
      <c r="F957" s="25" t="s">
        <v>1250</v>
      </c>
      <c r="G957" s="24" t="s">
        <v>24</v>
      </c>
      <c r="H957" s="24" t="s">
        <v>25</v>
      </c>
      <c r="I957" s="24" t="s">
        <v>24</v>
      </c>
      <c r="J957" s="24" t="s">
        <v>2298</v>
      </c>
      <c r="K957" s="24" t="s">
        <v>24</v>
      </c>
      <c r="L957" s="20"/>
    </row>
    <row r="958" spans="1:13">
      <c r="D958" s="18"/>
      <c r="E958" s="593" t="s">
        <v>99</v>
      </c>
      <c r="F958" s="594"/>
      <c r="G958" s="594"/>
      <c r="H958" s="594"/>
      <c r="I958" s="594"/>
      <c r="J958" s="594"/>
      <c r="K958" s="595"/>
      <c r="L958" s="20"/>
    </row>
    <row r="959" spans="1:13">
      <c r="A959" s="14" t="s">
        <v>331</v>
      </c>
      <c r="D959" s="18">
        <v>1</v>
      </c>
      <c r="E959" s="355" t="str">
        <f t="shared" ref="E959:E978" si="180">VLOOKUP($A959,MATMO,2,FALSE)</f>
        <v>Placa Cementicia 6mm</v>
      </c>
      <c r="F959" s="311">
        <v>2.2000000000000002</v>
      </c>
      <c r="G959" s="357" t="str">
        <f t="shared" ref="G959:G978" si="181">VLOOKUP($A959,MATMO,3,FALSE)</f>
        <v>m²</v>
      </c>
      <c r="H959" s="358">
        <f t="shared" ref="H959:H978" si="182">VLOOKUP($A959,MATMO,4,FALSE)*$Q$6</f>
        <v>136.30000000000001</v>
      </c>
      <c r="I959" s="359" t="str">
        <f t="shared" ref="I959:I978" si="183">+G959</f>
        <v>m²</v>
      </c>
      <c r="J959" s="361">
        <f>+H959*F959</f>
        <v>299.86000000000007</v>
      </c>
      <c r="K959" s="360" t="s">
        <v>2299</v>
      </c>
      <c r="L959" s="20"/>
      <c r="M959" s="14" t="s">
        <v>2005</v>
      </c>
    </row>
    <row r="960" spans="1:13">
      <c r="A960" s="14" t="s">
        <v>2517</v>
      </c>
      <c r="D960" s="18">
        <v>2</v>
      </c>
      <c r="E960" s="26" t="str">
        <f t="shared" si="180"/>
        <v>Montante de 70 mm</v>
      </c>
      <c r="F960" s="311">
        <v>2.5</v>
      </c>
      <c r="G960" s="307" t="str">
        <f t="shared" si="181"/>
        <v>m²</v>
      </c>
      <c r="H960" s="351">
        <f t="shared" si="182"/>
        <v>15</v>
      </c>
      <c r="I960" s="354" t="str">
        <f t="shared" si="183"/>
        <v>m²</v>
      </c>
      <c r="J960" s="350">
        <f t="shared" ref="J960:J978" si="184">+H960*F960</f>
        <v>37.5</v>
      </c>
      <c r="K960" s="360" t="s">
        <v>2299</v>
      </c>
      <c r="L960" s="20"/>
    </row>
    <row r="961" spans="1:12">
      <c r="A961" s="14" t="s">
        <v>2518</v>
      </c>
      <c r="D961" s="18">
        <v>3</v>
      </c>
      <c r="E961" s="26" t="str">
        <f t="shared" si="180"/>
        <v>Solera de 70 mm</v>
      </c>
      <c r="F961" s="311">
        <v>1</v>
      </c>
      <c r="G961" s="307" t="str">
        <f t="shared" si="181"/>
        <v>ml</v>
      </c>
      <c r="H961" s="351">
        <f t="shared" si="182"/>
        <v>13.7</v>
      </c>
      <c r="I961" s="354" t="str">
        <f t="shared" si="183"/>
        <v>ml</v>
      </c>
      <c r="J961" s="350">
        <f t="shared" si="184"/>
        <v>13.7</v>
      </c>
      <c r="K961" s="360" t="s">
        <v>2299</v>
      </c>
      <c r="L961" s="20"/>
    </row>
    <row r="962" spans="1:12">
      <c r="A962" s="14" t="s">
        <v>2519</v>
      </c>
      <c r="D962" s="18">
        <v>4</v>
      </c>
      <c r="E962" s="26" t="str">
        <f t="shared" si="180"/>
        <v>Cantonera</v>
      </c>
      <c r="F962" s="311">
        <v>0.1</v>
      </c>
      <c r="G962" s="307" t="str">
        <f t="shared" si="181"/>
        <v>ml</v>
      </c>
      <c r="H962" s="351">
        <f t="shared" si="182"/>
        <v>7.7</v>
      </c>
      <c r="I962" s="354" t="str">
        <f t="shared" si="183"/>
        <v>ml</v>
      </c>
      <c r="J962" s="350">
        <f t="shared" si="184"/>
        <v>0.77</v>
      </c>
      <c r="K962" s="360" t="s">
        <v>2299</v>
      </c>
      <c r="L962" s="20"/>
    </row>
    <row r="963" spans="1:12">
      <c r="A963" s="14" t="s">
        <v>2520</v>
      </c>
      <c r="D963" s="18">
        <v>5</v>
      </c>
      <c r="E963" s="26" t="str">
        <f t="shared" si="180"/>
        <v>T1 PM</v>
      </c>
      <c r="F963" s="311">
        <v>15</v>
      </c>
      <c r="G963" s="307" t="str">
        <f t="shared" si="181"/>
        <v xml:space="preserve">un </v>
      </c>
      <c r="H963" s="351">
        <f t="shared" si="182"/>
        <v>0.3</v>
      </c>
      <c r="I963" s="354" t="str">
        <f t="shared" si="183"/>
        <v xml:space="preserve">un </v>
      </c>
      <c r="J963" s="350">
        <f t="shared" si="184"/>
        <v>4.5</v>
      </c>
      <c r="K963" s="360" t="s">
        <v>2299</v>
      </c>
      <c r="L963" s="20"/>
    </row>
    <row r="964" spans="1:12">
      <c r="A964" s="14" t="s">
        <v>2521</v>
      </c>
      <c r="D964" s="18">
        <v>6</v>
      </c>
      <c r="E964" s="26" t="str">
        <f t="shared" si="180"/>
        <v>T2 PA</v>
      </c>
      <c r="F964" s="311">
        <v>35</v>
      </c>
      <c r="G964" s="307" t="str">
        <f t="shared" si="181"/>
        <v xml:space="preserve">un </v>
      </c>
      <c r="H964" s="351">
        <f t="shared" si="182"/>
        <v>0.25</v>
      </c>
      <c r="I964" s="354" t="str">
        <f t="shared" si="183"/>
        <v xml:space="preserve">un </v>
      </c>
      <c r="J964" s="350">
        <f t="shared" si="184"/>
        <v>8.75</v>
      </c>
      <c r="K964" s="360" t="s">
        <v>2299</v>
      </c>
      <c r="L964" s="20"/>
    </row>
    <row r="965" spans="1:12">
      <c r="A965" s="14" t="s">
        <v>2522</v>
      </c>
      <c r="D965" s="18">
        <v>7</v>
      </c>
      <c r="E965" s="26" t="str">
        <f t="shared" si="180"/>
        <v>Fijación Completa 8 mm</v>
      </c>
      <c r="F965" s="311">
        <v>3.5</v>
      </c>
      <c r="G965" s="307" t="str">
        <f t="shared" si="181"/>
        <v xml:space="preserve">un </v>
      </c>
      <c r="H965" s="351">
        <f t="shared" si="182"/>
        <v>0.85</v>
      </c>
      <c r="I965" s="354" t="str">
        <f t="shared" si="183"/>
        <v xml:space="preserve">un </v>
      </c>
      <c r="J965" s="350">
        <f t="shared" si="184"/>
        <v>2.9750000000000001</v>
      </c>
      <c r="K965" s="360" t="s">
        <v>2299</v>
      </c>
      <c r="L965" s="20"/>
    </row>
    <row r="966" spans="1:12">
      <c r="A966" s="14" t="s">
        <v>2523</v>
      </c>
      <c r="D966" s="18">
        <v>8</v>
      </c>
      <c r="E966" s="26" t="str">
        <f t="shared" si="180"/>
        <v>Masilla común</v>
      </c>
      <c r="F966" s="311">
        <v>2</v>
      </c>
      <c r="G966" s="307" t="str">
        <f t="shared" si="181"/>
        <v>kg</v>
      </c>
      <c r="H966" s="351">
        <f t="shared" si="182"/>
        <v>10.25</v>
      </c>
      <c r="I966" s="354" t="str">
        <f t="shared" si="183"/>
        <v>kg</v>
      </c>
      <c r="J966" s="350">
        <f t="shared" si="184"/>
        <v>20.5</v>
      </c>
      <c r="K966" s="360" t="s">
        <v>2299</v>
      </c>
      <c r="L966" s="20"/>
    </row>
    <row r="967" spans="1:12">
      <c r="A967" s="14" t="s">
        <v>2524</v>
      </c>
      <c r="D967" s="18">
        <v>9</v>
      </c>
      <c r="E967" s="26" t="str">
        <f t="shared" si="180"/>
        <v>Cinta Tramada</v>
      </c>
      <c r="F967" s="311">
        <v>4</v>
      </c>
      <c r="G967" s="307" t="str">
        <f t="shared" si="181"/>
        <v>ml</v>
      </c>
      <c r="H967" s="351">
        <f t="shared" si="182"/>
        <v>0.85</v>
      </c>
      <c r="I967" s="354" t="str">
        <f t="shared" si="183"/>
        <v>ml</v>
      </c>
      <c r="J967" s="350">
        <f t="shared" si="184"/>
        <v>3.4</v>
      </c>
      <c r="K967" s="360" t="s">
        <v>2299</v>
      </c>
      <c r="L967" s="20"/>
    </row>
    <row r="968" spans="1:12">
      <c r="A968" s="14" t="s">
        <v>2503</v>
      </c>
      <c r="D968" s="18">
        <v>10</v>
      </c>
      <c r="E968" s="26" t="str">
        <f t="shared" si="180"/>
        <v>Yeso tipo Paris</v>
      </c>
      <c r="F968" s="311">
        <v>0.15</v>
      </c>
      <c r="G968" s="307" t="str">
        <f t="shared" si="181"/>
        <v>kg</v>
      </c>
      <c r="H968" s="351">
        <f t="shared" si="182"/>
        <v>7.5</v>
      </c>
      <c r="I968" s="354" t="str">
        <f t="shared" si="183"/>
        <v>kg</v>
      </c>
      <c r="J968" s="350">
        <f t="shared" si="184"/>
        <v>1.125</v>
      </c>
      <c r="K968" s="360" t="s">
        <v>2299</v>
      </c>
      <c r="L968" s="20"/>
    </row>
    <row r="969" spans="1:12">
      <c r="A969" s="14" t="s">
        <v>31</v>
      </c>
      <c r="D969" s="18">
        <v>11</v>
      </c>
      <c r="E969" s="26" t="str">
        <f t="shared" si="180"/>
        <v>-</v>
      </c>
      <c r="F969" s="311"/>
      <c r="G969" s="307" t="str">
        <f t="shared" si="181"/>
        <v>-</v>
      </c>
      <c r="H969" s="351">
        <f t="shared" si="182"/>
        <v>0</v>
      </c>
      <c r="I969" s="537" t="str">
        <f t="shared" si="183"/>
        <v>-</v>
      </c>
      <c r="J969" s="538">
        <f t="shared" si="184"/>
        <v>0</v>
      </c>
      <c r="K969" s="539" t="s">
        <v>2299</v>
      </c>
      <c r="L969" s="20"/>
    </row>
    <row r="970" spans="1:12">
      <c r="A970" s="14" t="s">
        <v>31</v>
      </c>
      <c r="D970" s="18">
        <v>12</v>
      </c>
      <c r="E970" s="26" t="str">
        <f t="shared" si="180"/>
        <v>-</v>
      </c>
      <c r="F970" s="311"/>
      <c r="G970" s="307" t="str">
        <f t="shared" si="181"/>
        <v>-</v>
      </c>
      <c r="H970" s="352">
        <f t="shared" si="182"/>
        <v>0</v>
      </c>
      <c r="I970" s="537" t="str">
        <f t="shared" si="183"/>
        <v>-</v>
      </c>
      <c r="J970" s="538">
        <f t="shared" si="184"/>
        <v>0</v>
      </c>
      <c r="K970" s="539" t="s">
        <v>2299</v>
      </c>
      <c r="L970" s="20"/>
    </row>
    <row r="971" spans="1:12">
      <c r="A971" s="14" t="s">
        <v>31</v>
      </c>
      <c r="D971" s="18">
        <v>13</v>
      </c>
      <c r="E971" s="26" t="str">
        <f t="shared" si="180"/>
        <v>-</v>
      </c>
      <c r="F971" s="311"/>
      <c r="G971" s="307" t="str">
        <f t="shared" si="181"/>
        <v>-</v>
      </c>
      <c r="H971" s="352">
        <f t="shared" si="182"/>
        <v>0</v>
      </c>
      <c r="I971" s="537" t="str">
        <f t="shared" si="183"/>
        <v>-</v>
      </c>
      <c r="J971" s="538">
        <f t="shared" si="184"/>
        <v>0</v>
      </c>
      <c r="K971" s="539" t="s">
        <v>2299</v>
      </c>
      <c r="L971" s="20"/>
    </row>
    <row r="972" spans="1:12">
      <c r="A972" s="14" t="s">
        <v>31</v>
      </c>
      <c r="D972" s="18">
        <v>14</v>
      </c>
      <c r="E972" s="26" t="str">
        <f t="shared" si="180"/>
        <v>-</v>
      </c>
      <c r="F972" s="311"/>
      <c r="G972" s="307" t="str">
        <f t="shared" si="181"/>
        <v>-</v>
      </c>
      <c r="H972" s="352">
        <f t="shared" si="182"/>
        <v>0</v>
      </c>
      <c r="I972" s="537" t="str">
        <f t="shared" si="183"/>
        <v>-</v>
      </c>
      <c r="J972" s="538">
        <f t="shared" si="184"/>
        <v>0</v>
      </c>
      <c r="K972" s="539" t="s">
        <v>2299</v>
      </c>
      <c r="L972" s="20"/>
    </row>
    <row r="973" spans="1:12">
      <c r="A973" s="14" t="s">
        <v>31</v>
      </c>
      <c r="D973" s="18">
        <v>15</v>
      </c>
      <c r="E973" s="26" t="str">
        <f t="shared" si="180"/>
        <v>-</v>
      </c>
      <c r="F973" s="311"/>
      <c r="G973" s="307" t="str">
        <f t="shared" si="181"/>
        <v>-</v>
      </c>
      <c r="H973" s="352">
        <f t="shared" si="182"/>
        <v>0</v>
      </c>
      <c r="I973" s="537" t="str">
        <f t="shared" si="183"/>
        <v>-</v>
      </c>
      <c r="J973" s="538">
        <f t="shared" si="184"/>
        <v>0</v>
      </c>
      <c r="K973" s="539" t="s">
        <v>2299</v>
      </c>
      <c r="L973" s="20"/>
    </row>
    <row r="974" spans="1:12">
      <c r="A974" s="14" t="s">
        <v>31</v>
      </c>
      <c r="D974" s="18">
        <v>16</v>
      </c>
      <c r="E974" s="26" t="str">
        <f t="shared" si="180"/>
        <v>-</v>
      </c>
      <c r="F974" s="311"/>
      <c r="G974" s="307" t="str">
        <f t="shared" si="181"/>
        <v>-</v>
      </c>
      <c r="H974" s="352">
        <f t="shared" si="182"/>
        <v>0</v>
      </c>
      <c r="I974" s="537" t="str">
        <f t="shared" si="183"/>
        <v>-</v>
      </c>
      <c r="J974" s="538">
        <f t="shared" si="184"/>
        <v>0</v>
      </c>
      <c r="K974" s="539" t="s">
        <v>2299</v>
      </c>
      <c r="L974" s="20"/>
    </row>
    <row r="975" spans="1:12">
      <c r="A975" s="14" t="s">
        <v>31</v>
      </c>
      <c r="D975" s="18">
        <v>17</v>
      </c>
      <c r="E975" s="26" t="str">
        <f t="shared" si="180"/>
        <v>-</v>
      </c>
      <c r="F975" s="311"/>
      <c r="G975" s="307" t="str">
        <f t="shared" si="181"/>
        <v>-</v>
      </c>
      <c r="H975" s="352">
        <f t="shared" si="182"/>
        <v>0</v>
      </c>
      <c r="I975" s="537" t="str">
        <f t="shared" si="183"/>
        <v>-</v>
      </c>
      <c r="J975" s="538">
        <f t="shared" si="184"/>
        <v>0</v>
      </c>
      <c r="K975" s="539" t="s">
        <v>2299</v>
      </c>
      <c r="L975" s="20"/>
    </row>
    <row r="976" spans="1:12">
      <c r="A976" s="14" t="s">
        <v>31</v>
      </c>
      <c r="D976" s="18">
        <v>18</v>
      </c>
      <c r="E976" s="26" t="str">
        <f t="shared" si="180"/>
        <v>-</v>
      </c>
      <c r="F976" s="311"/>
      <c r="G976" s="307" t="str">
        <f t="shared" si="181"/>
        <v>-</v>
      </c>
      <c r="H976" s="352">
        <f t="shared" si="182"/>
        <v>0</v>
      </c>
      <c r="I976" s="537" t="str">
        <f t="shared" si="183"/>
        <v>-</v>
      </c>
      <c r="J976" s="538">
        <f t="shared" si="184"/>
        <v>0</v>
      </c>
      <c r="K976" s="539" t="s">
        <v>2299</v>
      </c>
      <c r="L976" s="20"/>
    </row>
    <row r="977" spans="1:19">
      <c r="A977" s="14" t="s">
        <v>31</v>
      </c>
      <c r="D977" s="18">
        <v>19</v>
      </c>
      <c r="E977" s="26" t="str">
        <f t="shared" si="180"/>
        <v>-</v>
      </c>
      <c r="F977" s="311"/>
      <c r="G977" s="307" t="str">
        <f t="shared" si="181"/>
        <v>-</v>
      </c>
      <c r="H977" s="352">
        <f t="shared" si="182"/>
        <v>0</v>
      </c>
      <c r="I977" s="537" t="str">
        <f t="shared" si="183"/>
        <v>-</v>
      </c>
      <c r="J977" s="538">
        <f t="shared" si="184"/>
        <v>0</v>
      </c>
      <c r="K977" s="539" t="s">
        <v>2299</v>
      </c>
      <c r="L977" s="20"/>
    </row>
    <row r="978" spans="1:19">
      <c r="A978" s="14" t="s">
        <v>31</v>
      </c>
      <c r="D978" s="18">
        <v>20</v>
      </c>
      <c r="E978" s="26" t="str">
        <f t="shared" si="180"/>
        <v>-</v>
      </c>
      <c r="F978" s="311"/>
      <c r="G978" s="307" t="str">
        <f t="shared" si="181"/>
        <v>-</v>
      </c>
      <c r="H978" s="352">
        <f t="shared" si="182"/>
        <v>0</v>
      </c>
      <c r="I978" s="537" t="str">
        <f t="shared" si="183"/>
        <v>-</v>
      </c>
      <c r="J978" s="541">
        <f t="shared" si="184"/>
        <v>0</v>
      </c>
      <c r="K978" s="539" t="s">
        <v>2299</v>
      </c>
      <c r="L978" s="20"/>
    </row>
    <row r="979" spans="1:19">
      <c r="A979" s="14">
        <f>A946+1</f>
        <v>21</v>
      </c>
      <c r="B979" s="14" t="str">
        <f>"MA" &amp; TEXT(A979,"##000")</f>
        <v>MA021</v>
      </c>
      <c r="D979" s="18"/>
      <c r="E979" s="591" t="s">
        <v>2302</v>
      </c>
      <c r="F979" s="592"/>
      <c r="G979" s="592"/>
      <c r="H979" s="592"/>
      <c r="I979" s="327"/>
      <c r="J979" s="353">
        <f>SUM(J959:J978)</f>
        <v>393.08000000000004</v>
      </c>
      <c r="K979" s="365" t="str">
        <f>+F956</f>
        <v>m2</v>
      </c>
      <c r="L979" s="20"/>
      <c r="O979" s="27" t="s">
        <v>1525</v>
      </c>
      <c r="P979" s="110">
        <v>150</v>
      </c>
    </row>
    <row r="980" spans="1:19">
      <c r="D980" s="18"/>
      <c r="E980" s="593" t="s">
        <v>100</v>
      </c>
      <c r="F980" s="594"/>
      <c r="G980" s="594"/>
      <c r="H980" s="594"/>
      <c r="I980" s="594"/>
      <c r="J980" s="595"/>
      <c r="K980" s="347"/>
      <c r="L980" s="20"/>
      <c r="O980" s="27" t="s">
        <v>1524</v>
      </c>
      <c r="P980" s="110">
        <v>0</v>
      </c>
    </row>
    <row r="981" spans="1:19">
      <c r="A981" s="14" t="s">
        <v>84</v>
      </c>
      <c r="D981" s="18">
        <v>1</v>
      </c>
      <c r="E981" s="26" t="str">
        <f>VLOOKUP($A981,MATMO,2,FALSE)</f>
        <v>Oficial</v>
      </c>
      <c r="F981" s="311">
        <v>2</v>
      </c>
      <c r="G981" s="307" t="str">
        <f>VLOOKUP($A981,MATMO,3,FALSE)</f>
        <v>hs</v>
      </c>
      <c r="H981" s="110">
        <f>VLOOKUP($A981,MATMO,4,FALSE)*$Q$7</f>
        <v>55.38</v>
      </c>
      <c r="I981" s="354" t="str">
        <f t="shared" ref="I981:I985" si="185">+G981</f>
        <v>hs</v>
      </c>
      <c r="J981" s="350">
        <f t="shared" ref="J981:J985" si="186">+H981*F981</f>
        <v>110.76</v>
      </c>
      <c r="K981" s="360" t="s">
        <v>2299</v>
      </c>
      <c r="L981" s="20"/>
      <c r="M981" s="14" t="s">
        <v>2006</v>
      </c>
      <c r="O981" s="27" t="s">
        <v>1526</v>
      </c>
      <c r="P981" s="110">
        <v>0</v>
      </c>
    </row>
    <row r="982" spans="1:19">
      <c r="A982" s="14" t="s">
        <v>85</v>
      </c>
      <c r="D982" s="18">
        <v>2</v>
      </c>
      <c r="E982" s="26" t="str">
        <f>VLOOKUP($A982,MATMO,2,FALSE)</f>
        <v>Ayudante</v>
      </c>
      <c r="F982" s="311">
        <v>0.75</v>
      </c>
      <c r="G982" s="307" t="str">
        <f>VLOOKUP($A982,MATMO,3,FALSE)</f>
        <v>hs</v>
      </c>
      <c r="H982" s="110">
        <f>VLOOKUP($A982,MATMO,4,FALSE)*$Q$7</f>
        <v>46.87</v>
      </c>
      <c r="I982" s="354" t="str">
        <f t="shared" si="185"/>
        <v>hs</v>
      </c>
      <c r="J982" s="350">
        <f t="shared" si="186"/>
        <v>35.152499999999996</v>
      </c>
      <c r="K982" s="360" t="s">
        <v>2299</v>
      </c>
      <c r="L982" s="20"/>
      <c r="O982" s="27" t="s">
        <v>1527</v>
      </c>
      <c r="P982" s="110">
        <v>0</v>
      </c>
    </row>
    <row r="983" spans="1:19">
      <c r="A983" s="14" t="s">
        <v>2311</v>
      </c>
      <c r="D983" s="18">
        <v>3</v>
      </c>
      <c r="E983" s="26" t="str">
        <f>VLOOKUP($A983,MATMO,2,FALSE)</f>
        <v>Cargas Sociales Oficial</v>
      </c>
      <c r="F983" s="311">
        <f>+F981</f>
        <v>2</v>
      </c>
      <c r="G983" s="307" t="str">
        <f>VLOOKUP($A983,MATMO,3,FALSE)</f>
        <v>hs</v>
      </c>
      <c r="H983" s="110">
        <f>VLOOKUP($A983,MATMO,4,FALSE)*$Q$7</f>
        <v>52.742782499999997</v>
      </c>
      <c r="I983" s="354" t="str">
        <f t="shared" si="185"/>
        <v>hs</v>
      </c>
      <c r="J983" s="350">
        <f t="shared" si="186"/>
        <v>105.48556499999999</v>
      </c>
      <c r="K983" s="360" t="s">
        <v>2299</v>
      </c>
      <c r="L983" s="20"/>
      <c r="O983" s="27"/>
      <c r="P983" s="110">
        <v>0</v>
      </c>
    </row>
    <row r="984" spans="1:19">
      <c r="A984" s="14" t="s">
        <v>2312</v>
      </c>
      <c r="D984" s="18">
        <v>4</v>
      </c>
      <c r="E984" s="26" t="str">
        <f>VLOOKUP($A984,MATMO,2,FALSE)</f>
        <v>Cargas Sociales Ayudante</v>
      </c>
      <c r="F984" s="311">
        <f>+F982</f>
        <v>0.75</v>
      </c>
      <c r="G984" s="307" t="str">
        <f>VLOOKUP($A984,MATMO,3,FALSE)</f>
        <v>hs</v>
      </c>
      <c r="H984" s="110">
        <f>VLOOKUP($A984,MATMO,4,FALSE)*$Q$7</f>
        <v>45.108248750000001</v>
      </c>
      <c r="I984" s="354" t="str">
        <f t="shared" si="185"/>
        <v>hs</v>
      </c>
      <c r="J984" s="350">
        <f t="shared" si="186"/>
        <v>33.831186562500001</v>
      </c>
      <c r="K984" s="360" t="s">
        <v>2299</v>
      </c>
      <c r="L984" s="20"/>
      <c r="O984" s="27"/>
      <c r="P984" s="110">
        <v>0</v>
      </c>
    </row>
    <row r="985" spans="1:19" ht="16.5" thickBot="1">
      <c r="A985" s="14" t="s">
        <v>83</v>
      </c>
      <c r="D985" s="18">
        <v>5</v>
      </c>
      <c r="E985" s="26" t="str">
        <f>VLOOKUP($A985,MATMO,2,FALSE)</f>
        <v>-</v>
      </c>
      <c r="F985" s="311"/>
      <c r="G985" s="307" t="str">
        <f>VLOOKUP($A985,MATMO,3,FALSE)</f>
        <v>-</v>
      </c>
      <c r="H985" s="110">
        <f>VLOOKUP($A985,MATMO,4,FALSE)*$Q$7</f>
        <v>0</v>
      </c>
      <c r="I985" s="537" t="str">
        <f t="shared" si="185"/>
        <v>-</v>
      </c>
      <c r="J985" s="538">
        <f t="shared" si="186"/>
        <v>0</v>
      </c>
      <c r="K985" s="539" t="s">
        <v>2299</v>
      </c>
      <c r="L985" s="20"/>
      <c r="O985" s="27"/>
      <c r="P985" s="110">
        <v>0</v>
      </c>
      <c r="R985" s="29" t="s">
        <v>2307</v>
      </c>
    </row>
    <row r="986" spans="1:19" ht="16.5" thickBot="1">
      <c r="A986" s="14">
        <f>A946+1</f>
        <v>21</v>
      </c>
      <c r="B986" s="14" t="str">
        <f>"MO" &amp; TEXT(A986,"##000")</f>
        <v>MO021</v>
      </c>
      <c r="D986" s="18"/>
      <c r="E986" s="591" t="s">
        <v>2301</v>
      </c>
      <c r="F986" s="592"/>
      <c r="G986" s="592"/>
      <c r="H986" s="592"/>
      <c r="I986" s="327"/>
      <c r="J986" s="362">
        <f>SUM(J981:J985)</f>
        <v>285.2292515625</v>
      </c>
      <c r="K986" s="365" t="str">
        <f>+G981</f>
        <v>hs</v>
      </c>
      <c r="L986" s="20"/>
      <c r="N986" s="111">
        <f>+P986+R986</f>
        <v>285</v>
      </c>
      <c r="O986" s="27"/>
      <c r="P986" s="27">
        <f>SUM(P979:P985)</f>
        <v>150</v>
      </c>
      <c r="Q986" s="26">
        <v>0.9</v>
      </c>
      <c r="R986" s="287">
        <f>+Q986*P986</f>
        <v>135</v>
      </c>
      <c r="S986" s="288"/>
    </row>
    <row r="987" spans="1:19">
      <c r="D987" s="18"/>
      <c r="E987" s="593" t="s">
        <v>101</v>
      </c>
      <c r="F987" s="594"/>
      <c r="G987" s="594"/>
      <c r="H987" s="594"/>
      <c r="I987" s="594"/>
      <c r="J987" s="595"/>
      <c r="K987" s="347"/>
      <c r="L987" s="20"/>
      <c r="P987" s="14" t="s">
        <v>2308</v>
      </c>
    </row>
    <row r="988" spans="1:19">
      <c r="A988" s="14" t="s">
        <v>119</v>
      </c>
      <c r="D988" s="18">
        <v>1</v>
      </c>
      <c r="E988" s="26" t="str">
        <f>VLOOKUP($A988,MATMO,2,FALSE)</f>
        <v>Herramientas de Mano</v>
      </c>
      <c r="F988" s="311">
        <v>1</v>
      </c>
      <c r="G988" s="307" t="str">
        <f>VLOOKUP($A988,MATMO,3,FALSE)</f>
        <v>gl</v>
      </c>
      <c r="H988" s="110">
        <f>+(J979+J986)*$Q$5</f>
        <v>27.132370062500005</v>
      </c>
      <c r="I988" s="345" t="str">
        <f>+G988</f>
        <v>gl</v>
      </c>
      <c r="J988" s="350">
        <f t="shared" ref="J988:J992" si="187">+H988*F988</f>
        <v>27.132370062500005</v>
      </c>
      <c r="K988" s="360" t="s">
        <v>2299</v>
      </c>
      <c r="L988" s="20"/>
      <c r="M988" s="14" t="s">
        <v>2004</v>
      </c>
    </row>
    <row r="989" spans="1:19">
      <c r="A989" s="14" t="s">
        <v>118</v>
      </c>
      <c r="D989" s="18">
        <v>2</v>
      </c>
      <c r="E989" s="26" t="str">
        <f>VLOOKUP($A989,MATMO,2,FALSE)</f>
        <v>-</v>
      </c>
      <c r="F989" s="311"/>
      <c r="G989" s="307" t="str">
        <f>VLOOKUP($A989,MATMO,3,FALSE)</f>
        <v>-</v>
      </c>
      <c r="H989" s="110">
        <f>VLOOKUP($A989,MATMO,4,FALSE)*$Q$6</f>
        <v>0</v>
      </c>
      <c r="I989" s="543" t="str">
        <f t="shared" ref="I989:I992" si="188">+G989</f>
        <v>-</v>
      </c>
      <c r="J989" s="538">
        <f t="shared" si="187"/>
        <v>0</v>
      </c>
      <c r="K989" s="539" t="s">
        <v>2299</v>
      </c>
      <c r="L989" s="20"/>
    </row>
    <row r="990" spans="1:19">
      <c r="A990" s="14" t="s">
        <v>118</v>
      </c>
      <c r="D990" s="18">
        <v>3</v>
      </c>
      <c r="E990" s="26" t="str">
        <f>VLOOKUP($A990,MATMO,2,FALSE)</f>
        <v>-</v>
      </c>
      <c r="F990" s="311"/>
      <c r="G990" s="307" t="str">
        <f>VLOOKUP($A990,MATMO,3,FALSE)</f>
        <v>-</v>
      </c>
      <c r="H990" s="110">
        <f>VLOOKUP($A990,MATMO,4,FALSE)*$Q$6</f>
        <v>0</v>
      </c>
      <c r="I990" s="543" t="str">
        <f t="shared" si="188"/>
        <v>-</v>
      </c>
      <c r="J990" s="538">
        <f t="shared" si="187"/>
        <v>0</v>
      </c>
      <c r="K990" s="539" t="s">
        <v>2299</v>
      </c>
      <c r="L990" s="20"/>
    </row>
    <row r="991" spans="1:19">
      <c r="A991" s="14" t="s">
        <v>118</v>
      </c>
      <c r="D991" s="18">
        <v>4</v>
      </c>
      <c r="E991" s="26" t="str">
        <f>VLOOKUP($A991,MATMO,2,FALSE)</f>
        <v>-</v>
      </c>
      <c r="F991" s="311"/>
      <c r="G991" s="307" t="str">
        <f>VLOOKUP($A991,MATMO,3,FALSE)</f>
        <v>-</v>
      </c>
      <c r="H991" s="110">
        <f>VLOOKUP($A991,MATMO,4,FALSE)*$Q$6</f>
        <v>0</v>
      </c>
      <c r="I991" s="543" t="str">
        <f t="shared" si="188"/>
        <v>-</v>
      </c>
      <c r="J991" s="538">
        <f t="shared" si="187"/>
        <v>0</v>
      </c>
      <c r="K991" s="539" t="s">
        <v>2299</v>
      </c>
      <c r="L991" s="20"/>
    </row>
    <row r="992" spans="1:19">
      <c r="A992" s="14" t="s">
        <v>118</v>
      </c>
      <c r="D992" s="18">
        <v>5</v>
      </c>
      <c r="E992" s="26" t="str">
        <f>VLOOKUP($A992,MATMO,2,FALSE)</f>
        <v>-</v>
      </c>
      <c r="F992" s="311"/>
      <c r="G992" s="307" t="str">
        <f>VLOOKUP($A992,MATMO,3,FALSE)</f>
        <v>-</v>
      </c>
      <c r="H992" s="110">
        <f>VLOOKUP($A992,MATMO,4,FALSE)*$Q$6</f>
        <v>0</v>
      </c>
      <c r="I992" s="543" t="str">
        <f t="shared" si="188"/>
        <v>-</v>
      </c>
      <c r="J992" s="538">
        <f t="shared" si="187"/>
        <v>0</v>
      </c>
      <c r="K992" s="539" t="s">
        <v>2299</v>
      </c>
      <c r="L992" s="20"/>
    </row>
    <row r="993" spans="1:13">
      <c r="A993" s="14">
        <f>A946+1</f>
        <v>21</v>
      </c>
      <c r="B993" s="14" t="str">
        <f>"E" &amp; TEXT(A993,"##000")</f>
        <v>E021</v>
      </c>
      <c r="D993" s="18"/>
      <c r="E993" s="591" t="s">
        <v>2300</v>
      </c>
      <c r="F993" s="592"/>
      <c r="G993" s="592"/>
      <c r="H993" s="592"/>
      <c r="I993" s="327"/>
      <c r="J993" s="362">
        <f>SUM(J988:J992)</f>
        <v>27.132370062500005</v>
      </c>
      <c r="K993" s="365" t="s">
        <v>116</v>
      </c>
      <c r="L993" s="20"/>
    </row>
    <row r="994" spans="1:13">
      <c r="D994" s="18"/>
      <c r="E994" s="596"/>
      <c r="F994" s="597"/>
      <c r="G994" s="597"/>
      <c r="H994" s="597"/>
      <c r="I994" s="597"/>
      <c r="J994" s="598"/>
      <c r="K994" s="348"/>
      <c r="L994" s="20"/>
    </row>
    <row r="995" spans="1:13">
      <c r="D995" s="18"/>
      <c r="E995" s="591" t="s">
        <v>2306</v>
      </c>
      <c r="F995" s="592"/>
      <c r="G995" s="592"/>
      <c r="H995" s="592"/>
      <c r="I995" s="327"/>
      <c r="J995" s="308">
        <f>+J993+J986+J979</f>
        <v>705.44162162500004</v>
      </c>
      <c r="K995" s="365" t="str">
        <f>+F956</f>
        <v>m2</v>
      </c>
      <c r="L995" s="20"/>
    </row>
    <row r="996" spans="1:13">
      <c r="D996" s="18"/>
      <c r="E996" s="591" t="s">
        <v>2305</v>
      </c>
      <c r="F996" s="592"/>
      <c r="G996" s="592"/>
      <c r="H996" s="592"/>
      <c r="I996" s="406">
        <f>+$Q$9</f>
        <v>1.6902999999999999</v>
      </c>
      <c r="J996" s="308">
        <f>+$Q$9*J995</f>
        <v>1192.4079730327376</v>
      </c>
      <c r="K996" s="365" t="str">
        <f>+F956</f>
        <v>m2</v>
      </c>
      <c r="L996" s="20"/>
    </row>
    <row r="997" spans="1:13">
      <c r="A997" s="14">
        <f>A950+1</f>
        <v>21</v>
      </c>
      <c r="B997" s="14" t="str">
        <f>"TR" &amp; TEXT(A997,"##000")</f>
        <v>TR021</v>
      </c>
      <c r="C997" s="14">
        <f>+C950+1</f>
        <v>21</v>
      </c>
      <c r="D997" s="18"/>
      <c r="E997" s="591" t="s">
        <v>2304</v>
      </c>
      <c r="F997" s="592"/>
      <c r="G997" s="592"/>
      <c r="H997" s="592"/>
      <c r="I997" s="327"/>
      <c r="J997" s="308">
        <f>+J996</f>
        <v>1192.4079730327376</v>
      </c>
      <c r="K997" s="365" t="str">
        <f>+F956</f>
        <v>m2</v>
      </c>
      <c r="L997" s="20"/>
    </row>
    <row r="998" spans="1:13" ht="16.5" thickBot="1">
      <c r="D998" s="21"/>
      <c r="E998" s="30"/>
      <c r="F998" s="30"/>
      <c r="G998" s="30"/>
      <c r="H998" s="30"/>
      <c r="I998" s="30"/>
      <c r="J998" s="30"/>
      <c r="K998" s="349"/>
      <c r="L998" s="22"/>
    </row>
    <row r="999" spans="1:13" ht="16.5" thickTop="1">
      <c r="D999" s="15"/>
      <c r="E999" s="16"/>
      <c r="F999" s="16"/>
      <c r="G999" s="16"/>
      <c r="H999" s="16"/>
      <c r="I999" s="16"/>
      <c r="J999" s="16"/>
      <c r="K999" s="16"/>
      <c r="L999" s="17"/>
    </row>
    <row r="1000" spans="1:13">
      <c r="A1000" s="14" t="s">
        <v>1833</v>
      </c>
      <c r="D1000" s="18"/>
      <c r="E1000" s="23" t="s">
        <v>95</v>
      </c>
      <c r="F1000" s="24" t="str">
        <f>VLOOKUP($A1000,DATRUB,3,FALSE)</f>
        <v>RUBRO IV:</v>
      </c>
      <c r="G1000" s="599" t="str">
        <f>VLOOKUP($A1000,DATRUB,4,FALSE)</f>
        <v>ALBAÑILERÍA</v>
      </c>
      <c r="H1000" s="599"/>
      <c r="I1000" s="599"/>
      <c r="J1000" s="599"/>
      <c r="K1000" s="599"/>
      <c r="L1000" s="20"/>
    </row>
    <row r="1001" spans="1:13" ht="35.1" customHeight="1">
      <c r="A1001" s="14" t="s">
        <v>1839</v>
      </c>
      <c r="D1001" s="18"/>
      <c r="E1001" s="23" t="s">
        <v>96</v>
      </c>
      <c r="F1001" s="399">
        <f>VLOOKUP($A1001,DATRUB,3,FALSE)</f>
        <v>4.5999999999999996</v>
      </c>
      <c r="G1001" s="599" t="str">
        <f>VLOOKUP($A1001,DATRUB,4,FALSE)</f>
        <v>Tabiques de roca de yeso tipo Durlock</v>
      </c>
      <c r="H1001" s="599"/>
      <c r="I1001" s="599"/>
      <c r="J1001" s="599"/>
      <c r="K1001" s="599"/>
      <c r="L1001" s="20"/>
    </row>
    <row r="1002" spans="1:13" ht="35.1" customHeight="1">
      <c r="A1002" s="14" t="s">
        <v>1839</v>
      </c>
      <c r="D1002" s="18"/>
      <c r="E1002" s="23" t="s">
        <v>97</v>
      </c>
      <c r="F1002" s="399">
        <f>VLOOKUP($A1002,DATRUB,3,FALSE)</f>
        <v>4.5999999999999996</v>
      </c>
      <c r="G1002" s="599" t="str">
        <f>VLOOKUP($A1002,DATRUB,4,FALSE)</f>
        <v>Tabiques de roca de yeso tipo Durlock</v>
      </c>
      <c r="H1002" s="599"/>
      <c r="I1002" s="599"/>
      <c r="J1002" s="599"/>
      <c r="K1002" s="599"/>
      <c r="L1002" s="20"/>
    </row>
    <row r="1003" spans="1:13">
      <c r="D1003" s="18"/>
      <c r="E1003" s="23" t="s">
        <v>98</v>
      </c>
      <c r="F1003" s="24" t="str">
        <f>VLOOKUP($A1002,DATRUB,5,FALSE)</f>
        <v>m2</v>
      </c>
      <c r="G1003" s="600"/>
      <c r="H1003" s="600"/>
      <c r="I1003" s="600"/>
      <c r="J1003" s="600"/>
      <c r="K1003" s="600"/>
      <c r="L1003" s="20"/>
    </row>
    <row r="1004" spans="1:13">
      <c r="D1004" s="18"/>
      <c r="E1004" s="24" t="s">
        <v>1158</v>
      </c>
      <c r="F1004" s="25" t="s">
        <v>1250</v>
      </c>
      <c r="G1004" s="24" t="s">
        <v>24</v>
      </c>
      <c r="H1004" s="24" t="s">
        <v>25</v>
      </c>
      <c r="I1004" s="24" t="s">
        <v>24</v>
      </c>
      <c r="J1004" s="24" t="s">
        <v>2298</v>
      </c>
      <c r="K1004" s="24" t="s">
        <v>24</v>
      </c>
      <c r="L1004" s="20"/>
    </row>
    <row r="1005" spans="1:13">
      <c r="D1005" s="18"/>
      <c r="E1005" s="593" t="s">
        <v>99</v>
      </c>
      <c r="F1005" s="594"/>
      <c r="G1005" s="594"/>
      <c r="H1005" s="594"/>
      <c r="I1005" s="594"/>
      <c r="J1005" s="594"/>
      <c r="K1005" s="595"/>
      <c r="L1005" s="20"/>
    </row>
    <row r="1006" spans="1:13">
      <c r="A1006" s="14" t="s">
        <v>2516</v>
      </c>
      <c r="D1006" s="18">
        <v>1</v>
      </c>
      <c r="E1006" s="355" t="str">
        <f t="shared" ref="E1006:E1025" si="189">VLOOKUP($A1006,MATMO,2,FALSE)</f>
        <v>Placa 12,5 mm</v>
      </c>
      <c r="F1006" s="311">
        <v>2.2000000000000002</v>
      </c>
      <c r="G1006" s="357" t="str">
        <f t="shared" ref="G1006:G1025" si="190">VLOOKUP($A1006,MATMO,3,FALSE)</f>
        <v>m²</v>
      </c>
      <c r="H1006" s="358">
        <f t="shared" ref="H1006:H1025" si="191">VLOOKUP($A1006,MATMO,4,FALSE)*$Q$6</f>
        <v>36.5</v>
      </c>
      <c r="I1006" s="359" t="str">
        <f t="shared" ref="I1006:I1025" si="192">+G1006</f>
        <v>m²</v>
      </c>
      <c r="J1006" s="361">
        <f>+H1006*F1006</f>
        <v>80.300000000000011</v>
      </c>
      <c r="K1006" s="360" t="s">
        <v>2299</v>
      </c>
      <c r="L1006" s="20"/>
      <c r="M1006" s="14" t="s">
        <v>2005</v>
      </c>
    </row>
    <row r="1007" spans="1:13">
      <c r="A1007" s="14" t="s">
        <v>2517</v>
      </c>
      <c r="D1007" s="18">
        <v>2</v>
      </c>
      <c r="E1007" s="26" t="str">
        <f t="shared" si="189"/>
        <v>Montante de 70 mm</v>
      </c>
      <c r="F1007" s="311">
        <v>2.5</v>
      </c>
      <c r="G1007" s="307" t="str">
        <f t="shared" si="190"/>
        <v>m²</v>
      </c>
      <c r="H1007" s="351">
        <f t="shared" si="191"/>
        <v>15</v>
      </c>
      <c r="I1007" s="354" t="str">
        <f t="shared" si="192"/>
        <v>m²</v>
      </c>
      <c r="J1007" s="350">
        <f t="shared" ref="J1007:J1025" si="193">+H1007*F1007</f>
        <v>37.5</v>
      </c>
      <c r="K1007" s="360" t="s">
        <v>2299</v>
      </c>
      <c r="L1007" s="20"/>
    </row>
    <row r="1008" spans="1:13">
      <c r="A1008" s="14" t="s">
        <v>2518</v>
      </c>
      <c r="D1008" s="18">
        <v>3</v>
      </c>
      <c r="E1008" s="26" t="str">
        <f t="shared" si="189"/>
        <v>Solera de 70 mm</v>
      </c>
      <c r="F1008" s="311">
        <v>1</v>
      </c>
      <c r="G1008" s="307" t="str">
        <f t="shared" si="190"/>
        <v>ml</v>
      </c>
      <c r="H1008" s="351">
        <f t="shared" si="191"/>
        <v>13.7</v>
      </c>
      <c r="I1008" s="354" t="str">
        <f t="shared" si="192"/>
        <v>ml</v>
      </c>
      <c r="J1008" s="350">
        <f t="shared" si="193"/>
        <v>13.7</v>
      </c>
      <c r="K1008" s="360" t="s">
        <v>2299</v>
      </c>
      <c r="L1008" s="20"/>
    </row>
    <row r="1009" spans="1:12">
      <c r="A1009" s="14" t="s">
        <v>2519</v>
      </c>
      <c r="D1009" s="18">
        <v>4</v>
      </c>
      <c r="E1009" s="26" t="str">
        <f t="shared" si="189"/>
        <v>Cantonera</v>
      </c>
      <c r="F1009" s="311">
        <v>0.1</v>
      </c>
      <c r="G1009" s="307" t="str">
        <f t="shared" si="190"/>
        <v>ml</v>
      </c>
      <c r="H1009" s="351">
        <f t="shared" si="191"/>
        <v>7.7</v>
      </c>
      <c r="I1009" s="354" t="str">
        <f t="shared" si="192"/>
        <v>ml</v>
      </c>
      <c r="J1009" s="350">
        <f t="shared" si="193"/>
        <v>0.77</v>
      </c>
      <c r="K1009" s="360" t="s">
        <v>2299</v>
      </c>
      <c r="L1009" s="20"/>
    </row>
    <row r="1010" spans="1:12">
      <c r="A1010" s="14" t="s">
        <v>2520</v>
      </c>
      <c r="D1010" s="18">
        <v>5</v>
      </c>
      <c r="E1010" s="26" t="str">
        <f t="shared" si="189"/>
        <v>T1 PM</v>
      </c>
      <c r="F1010" s="311">
        <v>15</v>
      </c>
      <c r="G1010" s="307" t="str">
        <f t="shared" si="190"/>
        <v xml:space="preserve">un </v>
      </c>
      <c r="H1010" s="351">
        <f t="shared" si="191"/>
        <v>0.3</v>
      </c>
      <c r="I1010" s="354" t="str">
        <f t="shared" si="192"/>
        <v xml:space="preserve">un </v>
      </c>
      <c r="J1010" s="350">
        <f t="shared" si="193"/>
        <v>4.5</v>
      </c>
      <c r="K1010" s="360" t="s">
        <v>2299</v>
      </c>
      <c r="L1010" s="20"/>
    </row>
    <row r="1011" spans="1:12">
      <c r="A1011" s="14" t="s">
        <v>2521</v>
      </c>
      <c r="D1011" s="18">
        <v>6</v>
      </c>
      <c r="E1011" s="26" t="str">
        <f t="shared" si="189"/>
        <v>T2 PA</v>
      </c>
      <c r="F1011" s="311">
        <v>35</v>
      </c>
      <c r="G1011" s="307" t="str">
        <f t="shared" si="190"/>
        <v xml:space="preserve">un </v>
      </c>
      <c r="H1011" s="351">
        <f t="shared" si="191"/>
        <v>0.25</v>
      </c>
      <c r="I1011" s="354" t="str">
        <f t="shared" si="192"/>
        <v xml:space="preserve">un </v>
      </c>
      <c r="J1011" s="350">
        <f t="shared" si="193"/>
        <v>8.75</v>
      </c>
      <c r="K1011" s="360" t="s">
        <v>2299</v>
      </c>
      <c r="L1011" s="20"/>
    </row>
    <row r="1012" spans="1:12">
      <c r="A1012" s="14" t="s">
        <v>2522</v>
      </c>
      <c r="D1012" s="18">
        <v>7</v>
      </c>
      <c r="E1012" s="26" t="str">
        <f t="shared" si="189"/>
        <v>Fijación Completa 8 mm</v>
      </c>
      <c r="F1012" s="311">
        <v>3.5</v>
      </c>
      <c r="G1012" s="307" t="str">
        <f t="shared" si="190"/>
        <v xml:space="preserve">un </v>
      </c>
      <c r="H1012" s="351">
        <f t="shared" si="191"/>
        <v>0.85</v>
      </c>
      <c r="I1012" s="354" t="str">
        <f t="shared" si="192"/>
        <v xml:space="preserve">un </v>
      </c>
      <c r="J1012" s="350">
        <f t="shared" si="193"/>
        <v>2.9750000000000001</v>
      </c>
      <c r="K1012" s="360" t="s">
        <v>2299</v>
      </c>
      <c r="L1012" s="20"/>
    </row>
    <row r="1013" spans="1:12">
      <c r="A1013" s="14" t="s">
        <v>2523</v>
      </c>
      <c r="D1013" s="18">
        <v>8</v>
      </c>
      <c r="E1013" s="26" t="str">
        <f t="shared" si="189"/>
        <v>Masilla común</v>
      </c>
      <c r="F1013" s="311">
        <v>2</v>
      </c>
      <c r="G1013" s="307" t="str">
        <f t="shared" si="190"/>
        <v>kg</v>
      </c>
      <c r="H1013" s="351">
        <f t="shared" si="191"/>
        <v>10.25</v>
      </c>
      <c r="I1013" s="354" t="str">
        <f t="shared" si="192"/>
        <v>kg</v>
      </c>
      <c r="J1013" s="350">
        <f t="shared" si="193"/>
        <v>20.5</v>
      </c>
      <c r="K1013" s="360" t="s">
        <v>2299</v>
      </c>
      <c r="L1013" s="20"/>
    </row>
    <row r="1014" spans="1:12">
      <c r="A1014" s="14" t="s">
        <v>2524</v>
      </c>
      <c r="D1014" s="18">
        <v>9</v>
      </c>
      <c r="E1014" s="26" t="str">
        <f t="shared" si="189"/>
        <v>Cinta Tramada</v>
      </c>
      <c r="F1014" s="311">
        <v>4</v>
      </c>
      <c r="G1014" s="307" t="str">
        <f t="shared" si="190"/>
        <v>ml</v>
      </c>
      <c r="H1014" s="351">
        <f t="shared" si="191"/>
        <v>0.85</v>
      </c>
      <c r="I1014" s="354" t="str">
        <f t="shared" si="192"/>
        <v>ml</v>
      </c>
      <c r="J1014" s="350">
        <f t="shared" si="193"/>
        <v>3.4</v>
      </c>
      <c r="K1014" s="360" t="s">
        <v>2299</v>
      </c>
      <c r="L1014" s="20"/>
    </row>
    <row r="1015" spans="1:12">
      <c r="A1015" s="14" t="s">
        <v>2503</v>
      </c>
      <c r="D1015" s="18">
        <v>10</v>
      </c>
      <c r="E1015" s="26" t="str">
        <f t="shared" si="189"/>
        <v>Yeso tipo Paris</v>
      </c>
      <c r="F1015" s="311">
        <v>0.15</v>
      </c>
      <c r="G1015" s="307" t="str">
        <f t="shared" si="190"/>
        <v>kg</v>
      </c>
      <c r="H1015" s="351">
        <f t="shared" si="191"/>
        <v>7.5</v>
      </c>
      <c r="I1015" s="354" t="str">
        <f t="shared" si="192"/>
        <v>kg</v>
      </c>
      <c r="J1015" s="350">
        <f t="shared" si="193"/>
        <v>1.125</v>
      </c>
      <c r="K1015" s="360" t="s">
        <v>2299</v>
      </c>
      <c r="L1015" s="20"/>
    </row>
    <row r="1016" spans="1:12">
      <c r="A1016" s="14" t="s">
        <v>31</v>
      </c>
      <c r="D1016" s="18">
        <v>11</v>
      </c>
      <c r="E1016" s="26" t="str">
        <f t="shared" si="189"/>
        <v>-</v>
      </c>
      <c r="F1016" s="400"/>
      <c r="G1016" s="307" t="str">
        <f t="shared" si="190"/>
        <v>-</v>
      </c>
      <c r="H1016" s="351">
        <f t="shared" si="191"/>
        <v>0</v>
      </c>
      <c r="I1016" s="537" t="str">
        <f t="shared" si="192"/>
        <v>-</v>
      </c>
      <c r="J1016" s="538">
        <f t="shared" si="193"/>
        <v>0</v>
      </c>
      <c r="K1016" s="539" t="s">
        <v>2299</v>
      </c>
      <c r="L1016" s="20"/>
    </row>
    <row r="1017" spans="1:12">
      <c r="A1017" s="14" t="s">
        <v>31</v>
      </c>
      <c r="D1017" s="18">
        <v>12</v>
      </c>
      <c r="E1017" s="26" t="str">
        <f t="shared" si="189"/>
        <v>-</v>
      </c>
      <c r="F1017" s="311"/>
      <c r="G1017" s="307" t="str">
        <f t="shared" si="190"/>
        <v>-</v>
      </c>
      <c r="H1017" s="352">
        <f t="shared" si="191"/>
        <v>0</v>
      </c>
      <c r="I1017" s="537" t="str">
        <f t="shared" si="192"/>
        <v>-</v>
      </c>
      <c r="J1017" s="538">
        <f t="shared" si="193"/>
        <v>0</v>
      </c>
      <c r="K1017" s="539" t="s">
        <v>2299</v>
      </c>
      <c r="L1017" s="20"/>
    </row>
    <row r="1018" spans="1:12">
      <c r="A1018" s="14" t="s">
        <v>31</v>
      </c>
      <c r="D1018" s="18">
        <v>13</v>
      </c>
      <c r="E1018" s="26" t="str">
        <f t="shared" si="189"/>
        <v>-</v>
      </c>
      <c r="F1018" s="311"/>
      <c r="G1018" s="307" t="str">
        <f t="shared" si="190"/>
        <v>-</v>
      </c>
      <c r="H1018" s="352">
        <f t="shared" si="191"/>
        <v>0</v>
      </c>
      <c r="I1018" s="537" t="str">
        <f t="shared" si="192"/>
        <v>-</v>
      </c>
      <c r="J1018" s="538">
        <f t="shared" si="193"/>
        <v>0</v>
      </c>
      <c r="K1018" s="539" t="s">
        <v>2299</v>
      </c>
      <c r="L1018" s="20"/>
    </row>
    <row r="1019" spans="1:12">
      <c r="A1019" s="14" t="s">
        <v>31</v>
      </c>
      <c r="D1019" s="18">
        <v>14</v>
      </c>
      <c r="E1019" s="26" t="str">
        <f t="shared" si="189"/>
        <v>-</v>
      </c>
      <c r="F1019" s="311"/>
      <c r="G1019" s="307" t="str">
        <f t="shared" si="190"/>
        <v>-</v>
      </c>
      <c r="H1019" s="352">
        <f t="shared" si="191"/>
        <v>0</v>
      </c>
      <c r="I1019" s="537" t="str">
        <f t="shared" si="192"/>
        <v>-</v>
      </c>
      <c r="J1019" s="538">
        <f t="shared" si="193"/>
        <v>0</v>
      </c>
      <c r="K1019" s="539" t="s">
        <v>2299</v>
      </c>
      <c r="L1019" s="20"/>
    </row>
    <row r="1020" spans="1:12">
      <c r="A1020" s="14" t="s">
        <v>31</v>
      </c>
      <c r="D1020" s="18">
        <v>15</v>
      </c>
      <c r="E1020" s="26" t="str">
        <f t="shared" si="189"/>
        <v>-</v>
      </c>
      <c r="F1020" s="311"/>
      <c r="G1020" s="307" t="str">
        <f t="shared" si="190"/>
        <v>-</v>
      </c>
      <c r="H1020" s="352">
        <f t="shared" si="191"/>
        <v>0</v>
      </c>
      <c r="I1020" s="537" t="str">
        <f t="shared" si="192"/>
        <v>-</v>
      </c>
      <c r="J1020" s="538">
        <f t="shared" si="193"/>
        <v>0</v>
      </c>
      <c r="K1020" s="539" t="s">
        <v>2299</v>
      </c>
      <c r="L1020" s="20"/>
    </row>
    <row r="1021" spans="1:12">
      <c r="A1021" s="14" t="s">
        <v>31</v>
      </c>
      <c r="D1021" s="18">
        <v>16</v>
      </c>
      <c r="E1021" s="26" t="str">
        <f t="shared" si="189"/>
        <v>-</v>
      </c>
      <c r="F1021" s="311"/>
      <c r="G1021" s="307" t="str">
        <f t="shared" si="190"/>
        <v>-</v>
      </c>
      <c r="H1021" s="352">
        <f t="shared" si="191"/>
        <v>0</v>
      </c>
      <c r="I1021" s="537" t="str">
        <f t="shared" si="192"/>
        <v>-</v>
      </c>
      <c r="J1021" s="538">
        <f t="shared" si="193"/>
        <v>0</v>
      </c>
      <c r="K1021" s="539" t="s">
        <v>2299</v>
      </c>
      <c r="L1021" s="20"/>
    </row>
    <row r="1022" spans="1:12">
      <c r="A1022" s="14" t="s">
        <v>31</v>
      </c>
      <c r="D1022" s="18">
        <v>17</v>
      </c>
      <c r="E1022" s="26" t="str">
        <f t="shared" si="189"/>
        <v>-</v>
      </c>
      <c r="F1022" s="311"/>
      <c r="G1022" s="307" t="str">
        <f t="shared" si="190"/>
        <v>-</v>
      </c>
      <c r="H1022" s="352">
        <f t="shared" si="191"/>
        <v>0</v>
      </c>
      <c r="I1022" s="537" t="str">
        <f t="shared" si="192"/>
        <v>-</v>
      </c>
      <c r="J1022" s="538">
        <f t="shared" si="193"/>
        <v>0</v>
      </c>
      <c r="K1022" s="539" t="s">
        <v>2299</v>
      </c>
      <c r="L1022" s="20"/>
    </row>
    <row r="1023" spans="1:12">
      <c r="A1023" s="14" t="s">
        <v>31</v>
      </c>
      <c r="D1023" s="18">
        <v>18</v>
      </c>
      <c r="E1023" s="26" t="str">
        <f t="shared" si="189"/>
        <v>-</v>
      </c>
      <c r="F1023" s="311"/>
      <c r="G1023" s="307" t="str">
        <f t="shared" si="190"/>
        <v>-</v>
      </c>
      <c r="H1023" s="352">
        <f t="shared" si="191"/>
        <v>0</v>
      </c>
      <c r="I1023" s="537" t="str">
        <f t="shared" si="192"/>
        <v>-</v>
      </c>
      <c r="J1023" s="538">
        <f t="shared" si="193"/>
        <v>0</v>
      </c>
      <c r="K1023" s="539" t="s">
        <v>2299</v>
      </c>
      <c r="L1023" s="20"/>
    </row>
    <row r="1024" spans="1:12">
      <c r="A1024" s="14" t="s">
        <v>31</v>
      </c>
      <c r="D1024" s="18">
        <v>19</v>
      </c>
      <c r="E1024" s="26" t="str">
        <f t="shared" si="189"/>
        <v>-</v>
      </c>
      <c r="F1024" s="311"/>
      <c r="G1024" s="307" t="str">
        <f t="shared" si="190"/>
        <v>-</v>
      </c>
      <c r="H1024" s="352">
        <f t="shared" si="191"/>
        <v>0</v>
      </c>
      <c r="I1024" s="537" t="str">
        <f t="shared" si="192"/>
        <v>-</v>
      </c>
      <c r="J1024" s="538">
        <f t="shared" si="193"/>
        <v>0</v>
      </c>
      <c r="K1024" s="539" t="s">
        <v>2299</v>
      </c>
      <c r="L1024" s="20"/>
    </row>
    <row r="1025" spans="1:19">
      <c r="A1025" s="14" t="s">
        <v>31</v>
      </c>
      <c r="D1025" s="18">
        <v>20</v>
      </c>
      <c r="E1025" s="26" t="str">
        <f t="shared" si="189"/>
        <v>-</v>
      </c>
      <c r="F1025" s="311"/>
      <c r="G1025" s="307" t="str">
        <f t="shared" si="190"/>
        <v>-</v>
      </c>
      <c r="H1025" s="352">
        <f t="shared" si="191"/>
        <v>0</v>
      </c>
      <c r="I1025" s="537" t="str">
        <f t="shared" si="192"/>
        <v>-</v>
      </c>
      <c r="J1025" s="541">
        <f t="shared" si="193"/>
        <v>0</v>
      </c>
      <c r="K1025" s="539" t="s">
        <v>2299</v>
      </c>
      <c r="L1025" s="20"/>
    </row>
    <row r="1026" spans="1:19">
      <c r="A1026" s="14">
        <f>A993+1</f>
        <v>22</v>
      </c>
      <c r="B1026" s="14" t="str">
        <f>"MA" &amp; TEXT(A1026,"##000")</f>
        <v>MA022</v>
      </c>
      <c r="D1026" s="18"/>
      <c r="E1026" s="591" t="s">
        <v>2302</v>
      </c>
      <c r="F1026" s="592"/>
      <c r="G1026" s="592"/>
      <c r="H1026" s="592"/>
      <c r="I1026" s="327"/>
      <c r="J1026" s="353">
        <f>SUM(J1006:J1025)</f>
        <v>173.52</v>
      </c>
      <c r="K1026" s="365" t="str">
        <f>+F1003</f>
        <v>m2</v>
      </c>
      <c r="L1026" s="20"/>
      <c r="O1026" s="27" t="s">
        <v>1525</v>
      </c>
      <c r="P1026" s="110">
        <v>150</v>
      </c>
    </row>
    <row r="1027" spans="1:19">
      <c r="D1027" s="18"/>
      <c r="E1027" s="593" t="s">
        <v>100</v>
      </c>
      <c r="F1027" s="594"/>
      <c r="G1027" s="594"/>
      <c r="H1027" s="594"/>
      <c r="I1027" s="594"/>
      <c r="J1027" s="595"/>
      <c r="K1027" s="347"/>
      <c r="L1027" s="20"/>
      <c r="O1027" s="27" t="s">
        <v>1524</v>
      </c>
      <c r="P1027" s="110">
        <v>0</v>
      </c>
    </row>
    <row r="1028" spans="1:19">
      <c r="A1028" s="14" t="s">
        <v>84</v>
      </c>
      <c r="D1028" s="18">
        <v>1</v>
      </c>
      <c r="E1028" s="26" t="str">
        <f>VLOOKUP($A1028,MATMO,2,FALSE)</f>
        <v>Oficial</v>
      </c>
      <c r="F1028" s="311">
        <v>2</v>
      </c>
      <c r="G1028" s="307" t="str">
        <f>VLOOKUP($A1028,MATMO,3,FALSE)</f>
        <v>hs</v>
      </c>
      <c r="H1028" s="110">
        <f>VLOOKUP($A1028,MATMO,4,FALSE)*$Q$7</f>
        <v>55.38</v>
      </c>
      <c r="I1028" s="354" t="str">
        <f t="shared" ref="I1028:I1032" si="194">+G1028</f>
        <v>hs</v>
      </c>
      <c r="J1028" s="350">
        <f t="shared" ref="J1028:J1032" si="195">+H1028*F1028</f>
        <v>110.76</v>
      </c>
      <c r="K1028" s="360" t="s">
        <v>2299</v>
      </c>
      <c r="L1028" s="20"/>
      <c r="M1028" s="14" t="s">
        <v>2006</v>
      </c>
      <c r="O1028" s="27" t="s">
        <v>1526</v>
      </c>
      <c r="P1028" s="110">
        <v>0</v>
      </c>
    </row>
    <row r="1029" spans="1:19">
      <c r="A1029" s="14" t="s">
        <v>85</v>
      </c>
      <c r="D1029" s="18">
        <v>2</v>
      </c>
      <c r="E1029" s="26" t="str">
        <f>VLOOKUP($A1029,MATMO,2,FALSE)</f>
        <v>Ayudante</v>
      </c>
      <c r="F1029" s="311">
        <v>0.75</v>
      </c>
      <c r="G1029" s="307" t="str">
        <f>VLOOKUP($A1029,MATMO,3,FALSE)</f>
        <v>hs</v>
      </c>
      <c r="H1029" s="110">
        <f>VLOOKUP($A1029,MATMO,4,FALSE)*$Q$7</f>
        <v>46.87</v>
      </c>
      <c r="I1029" s="354" t="str">
        <f t="shared" si="194"/>
        <v>hs</v>
      </c>
      <c r="J1029" s="350">
        <f t="shared" si="195"/>
        <v>35.152499999999996</v>
      </c>
      <c r="K1029" s="360" t="s">
        <v>2299</v>
      </c>
      <c r="L1029" s="20"/>
      <c r="O1029" s="27" t="s">
        <v>1527</v>
      </c>
      <c r="P1029" s="110">
        <v>0</v>
      </c>
    </row>
    <row r="1030" spans="1:19">
      <c r="A1030" s="14" t="s">
        <v>2311</v>
      </c>
      <c r="D1030" s="18">
        <v>3</v>
      </c>
      <c r="E1030" s="26" t="str">
        <f>VLOOKUP($A1030,MATMO,2,FALSE)</f>
        <v>Cargas Sociales Oficial</v>
      </c>
      <c r="F1030" s="311">
        <f>+F1028</f>
        <v>2</v>
      </c>
      <c r="G1030" s="307" t="str">
        <f>VLOOKUP($A1030,MATMO,3,FALSE)</f>
        <v>hs</v>
      </c>
      <c r="H1030" s="110">
        <f>VLOOKUP($A1030,MATMO,4,FALSE)*$Q$7</f>
        <v>52.742782499999997</v>
      </c>
      <c r="I1030" s="354" t="str">
        <f t="shared" si="194"/>
        <v>hs</v>
      </c>
      <c r="J1030" s="350">
        <f t="shared" si="195"/>
        <v>105.48556499999999</v>
      </c>
      <c r="K1030" s="360" t="s">
        <v>2299</v>
      </c>
      <c r="L1030" s="20"/>
      <c r="O1030" s="27"/>
      <c r="P1030" s="110">
        <v>0</v>
      </c>
    </row>
    <row r="1031" spans="1:19">
      <c r="A1031" s="14" t="s">
        <v>2312</v>
      </c>
      <c r="D1031" s="18">
        <v>4</v>
      </c>
      <c r="E1031" s="26" t="str">
        <f>VLOOKUP($A1031,MATMO,2,FALSE)</f>
        <v>Cargas Sociales Ayudante</v>
      </c>
      <c r="F1031" s="311">
        <f>+F1029</f>
        <v>0.75</v>
      </c>
      <c r="G1031" s="307" t="str">
        <f>VLOOKUP($A1031,MATMO,3,FALSE)</f>
        <v>hs</v>
      </c>
      <c r="H1031" s="110">
        <f>VLOOKUP($A1031,MATMO,4,FALSE)*$Q$7</f>
        <v>45.108248750000001</v>
      </c>
      <c r="I1031" s="354" t="str">
        <f t="shared" si="194"/>
        <v>hs</v>
      </c>
      <c r="J1031" s="350">
        <f t="shared" si="195"/>
        <v>33.831186562500001</v>
      </c>
      <c r="K1031" s="360" t="s">
        <v>2299</v>
      </c>
      <c r="L1031" s="20"/>
      <c r="O1031" s="27"/>
      <c r="P1031" s="110">
        <v>0</v>
      </c>
    </row>
    <row r="1032" spans="1:19" ht="16.5" thickBot="1">
      <c r="A1032" s="14" t="s">
        <v>83</v>
      </c>
      <c r="D1032" s="18">
        <v>5</v>
      </c>
      <c r="E1032" s="26" t="str">
        <f>VLOOKUP($A1032,MATMO,2,FALSE)</f>
        <v>-</v>
      </c>
      <c r="F1032" s="311"/>
      <c r="G1032" s="307" t="str">
        <f>VLOOKUP($A1032,MATMO,3,FALSE)</f>
        <v>-</v>
      </c>
      <c r="H1032" s="110">
        <f>VLOOKUP($A1032,MATMO,4,FALSE)*$Q$7</f>
        <v>0</v>
      </c>
      <c r="I1032" s="537" t="str">
        <f t="shared" si="194"/>
        <v>-</v>
      </c>
      <c r="J1032" s="538">
        <f t="shared" si="195"/>
        <v>0</v>
      </c>
      <c r="K1032" s="539" t="s">
        <v>2299</v>
      </c>
      <c r="L1032" s="20"/>
      <c r="O1032" s="27"/>
      <c r="P1032" s="110">
        <v>0</v>
      </c>
      <c r="R1032" s="29" t="s">
        <v>2307</v>
      </c>
    </row>
    <row r="1033" spans="1:19" ht="16.5" thickBot="1">
      <c r="A1033" s="14">
        <f>A993+1</f>
        <v>22</v>
      </c>
      <c r="B1033" s="14" t="str">
        <f>"MO" &amp; TEXT(A1033,"##000")</f>
        <v>MO022</v>
      </c>
      <c r="D1033" s="18"/>
      <c r="E1033" s="591" t="s">
        <v>2301</v>
      </c>
      <c r="F1033" s="592"/>
      <c r="G1033" s="592"/>
      <c r="H1033" s="592"/>
      <c r="I1033" s="327"/>
      <c r="J1033" s="362">
        <f>SUM(J1028:J1032)</f>
        <v>285.2292515625</v>
      </c>
      <c r="K1033" s="365" t="str">
        <f>+G1028</f>
        <v>hs</v>
      </c>
      <c r="L1033" s="20"/>
      <c r="N1033" s="111">
        <f>+P1033+R1033</f>
        <v>285</v>
      </c>
      <c r="O1033" s="27"/>
      <c r="P1033" s="27">
        <f>SUM(P1026:P1032)</f>
        <v>150</v>
      </c>
      <c r="Q1033" s="26">
        <v>0.9</v>
      </c>
      <c r="R1033" s="287">
        <f>+Q1033*P1033</f>
        <v>135</v>
      </c>
      <c r="S1033" s="288"/>
    </row>
    <row r="1034" spans="1:19">
      <c r="D1034" s="18"/>
      <c r="E1034" s="593" t="s">
        <v>101</v>
      </c>
      <c r="F1034" s="594"/>
      <c r="G1034" s="594"/>
      <c r="H1034" s="594"/>
      <c r="I1034" s="594"/>
      <c r="J1034" s="595"/>
      <c r="K1034" s="347"/>
      <c r="L1034" s="20"/>
      <c r="P1034" s="14" t="s">
        <v>2308</v>
      </c>
    </row>
    <row r="1035" spans="1:19">
      <c r="A1035" s="14" t="s">
        <v>119</v>
      </c>
      <c r="D1035" s="18">
        <v>1</v>
      </c>
      <c r="E1035" s="26" t="str">
        <f>VLOOKUP($A1035,MATMO,2,FALSE)</f>
        <v>Herramientas de Mano</v>
      </c>
      <c r="F1035" s="311">
        <v>1</v>
      </c>
      <c r="G1035" s="307" t="str">
        <f>VLOOKUP($A1035,MATMO,3,FALSE)</f>
        <v>gl</v>
      </c>
      <c r="H1035" s="110">
        <f>+(J1026+J1033)*$Q$5</f>
        <v>18.349970062500002</v>
      </c>
      <c r="I1035" s="345" t="str">
        <f>+G1035</f>
        <v>gl</v>
      </c>
      <c r="J1035" s="350">
        <f t="shared" ref="J1035:J1039" si="196">+H1035*F1035</f>
        <v>18.349970062500002</v>
      </c>
      <c r="K1035" s="360" t="s">
        <v>2299</v>
      </c>
      <c r="L1035" s="20"/>
      <c r="M1035" s="14" t="s">
        <v>2004</v>
      </c>
    </row>
    <row r="1036" spans="1:19">
      <c r="A1036" s="14" t="s">
        <v>118</v>
      </c>
      <c r="D1036" s="18">
        <v>2</v>
      </c>
      <c r="E1036" s="26" t="str">
        <f>VLOOKUP($A1036,MATMO,2,FALSE)</f>
        <v>-</v>
      </c>
      <c r="F1036" s="311"/>
      <c r="G1036" s="307" t="str">
        <f>VLOOKUP($A1036,MATMO,3,FALSE)</f>
        <v>-</v>
      </c>
      <c r="H1036" s="110">
        <f>VLOOKUP($A1036,MATMO,4,FALSE)*$Q$6</f>
        <v>0</v>
      </c>
      <c r="I1036" s="543" t="str">
        <f t="shared" ref="I1036:I1039" si="197">+G1036</f>
        <v>-</v>
      </c>
      <c r="J1036" s="538">
        <f t="shared" si="196"/>
        <v>0</v>
      </c>
      <c r="K1036" s="539" t="s">
        <v>2299</v>
      </c>
      <c r="L1036" s="20"/>
    </row>
    <row r="1037" spans="1:19">
      <c r="A1037" s="14" t="s">
        <v>118</v>
      </c>
      <c r="D1037" s="18">
        <v>3</v>
      </c>
      <c r="E1037" s="26" t="str">
        <f>VLOOKUP($A1037,MATMO,2,FALSE)</f>
        <v>-</v>
      </c>
      <c r="F1037" s="311"/>
      <c r="G1037" s="307" t="str">
        <f>VLOOKUP($A1037,MATMO,3,FALSE)</f>
        <v>-</v>
      </c>
      <c r="H1037" s="110">
        <f>VLOOKUP($A1037,MATMO,4,FALSE)*$Q$6</f>
        <v>0</v>
      </c>
      <c r="I1037" s="543" t="str">
        <f t="shared" si="197"/>
        <v>-</v>
      </c>
      <c r="J1037" s="538">
        <f t="shared" si="196"/>
        <v>0</v>
      </c>
      <c r="K1037" s="539" t="s">
        <v>2299</v>
      </c>
      <c r="L1037" s="20"/>
    </row>
    <row r="1038" spans="1:19">
      <c r="A1038" s="14" t="s">
        <v>118</v>
      </c>
      <c r="D1038" s="18">
        <v>4</v>
      </c>
      <c r="E1038" s="26" t="str">
        <f>VLOOKUP($A1038,MATMO,2,FALSE)</f>
        <v>-</v>
      </c>
      <c r="F1038" s="311"/>
      <c r="G1038" s="307" t="str">
        <f>VLOOKUP($A1038,MATMO,3,FALSE)</f>
        <v>-</v>
      </c>
      <c r="H1038" s="110">
        <f>VLOOKUP($A1038,MATMO,4,FALSE)*$Q$6</f>
        <v>0</v>
      </c>
      <c r="I1038" s="543" t="str">
        <f t="shared" si="197"/>
        <v>-</v>
      </c>
      <c r="J1038" s="538">
        <f t="shared" si="196"/>
        <v>0</v>
      </c>
      <c r="K1038" s="539" t="s">
        <v>2299</v>
      </c>
      <c r="L1038" s="20"/>
    </row>
    <row r="1039" spans="1:19">
      <c r="A1039" s="14" t="s">
        <v>118</v>
      </c>
      <c r="D1039" s="18">
        <v>5</v>
      </c>
      <c r="E1039" s="26" t="str">
        <f>VLOOKUP($A1039,MATMO,2,FALSE)</f>
        <v>-</v>
      </c>
      <c r="F1039" s="311"/>
      <c r="G1039" s="307" t="str">
        <f>VLOOKUP($A1039,MATMO,3,FALSE)</f>
        <v>-</v>
      </c>
      <c r="H1039" s="110">
        <f>VLOOKUP($A1039,MATMO,4,FALSE)*$Q$6</f>
        <v>0</v>
      </c>
      <c r="I1039" s="543" t="str">
        <f t="shared" si="197"/>
        <v>-</v>
      </c>
      <c r="J1039" s="538">
        <f t="shared" si="196"/>
        <v>0</v>
      </c>
      <c r="K1039" s="539" t="s">
        <v>2299</v>
      </c>
      <c r="L1039" s="20"/>
    </row>
    <row r="1040" spans="1:19">
      <c r="A1040" s="14">
        <f>A993+1</f>
        <v>22</v>
      </c>
      <c r="B1040" s="14" t="str">
        <f>"E" &amp; TEXT(A1040,"##000")</f>
        <v>E022</v>
      </c>
      <c r="D1040" s="18"/>
      <c r="E1040" s="591" t="s">
        <v>2300</v>
      </c>
      <c r="F1040" s="592"/>
      <c r="G1040" s="592"/>
      <c r="H1040" s="592"/>
      <c r="I1040" s="327"/>
      <c r="J1040" s="362">
        <f>SUM(J1035:J1039)</f>
        <v>18.349970062500002</v>
      </c>
      <c r="K1040" s="365" t="s">
        <v>116</v>
      </c>
      <c r="L1040" s="20"/>
    </row>
    <row r="1041" spans="1:13">
      <c r="D1041" s="18"/>
      <c r="E1041" s="596"/>
      <c r="F1041" s="597"/>
      <c r="G1041" s="597"/>
      <c r="H1041" s="597"/>
      <c r="I1041" s="597"/>
      <c r="J1041" s="598"/>
      <c r="K1041" s="348"/>
      <c r="L1041" s="20"/>
    </row>
    <row r="1042" spans="1:13">
      <c r="D1042" s="18"/>
      <c r="E1042" s="591" t="s">
        <v>2306</v>
      </c>
      <c r="F1042" s="592"/>
      <c r="G1042" s="592"/>
      <c r="H1042" s="592"/>
      <c r="I1042" s="327"/>
      <c r="J1042" s="308">
        <f>+J1040+J1033+J1026</f>
        <v>477.09922162500004</v>
      </c>
      <c r="K1042" s="365" t="str">
        <f>+F1003</f>
        <v>m2</v>
      </c>
      <c r="L1042" s="20"/>
    </row>
    <row r="1043" spans="1:13">
      <c r="D1043" s="18"/>
      <c r="E1043" s="591" t="s">
        <v>2305</v>
      </c>
      <c r="F1043" s="592"/>
      <c r="G1043" s="592"/>
      <c r="H1043" s="592"/>
      <c r="I1043" s="406">
        <f>+$Q$9</f>
        <v>1.6902999999999999</v>
      </c>
      <c r="J1043" s="308">
        <f>+$Q$9*J1042</f>
        <v>806.44081431273753</v>
      </c>
      <c r="K1043" s="365" t="str">
        <f>+F1003</f>
        <v>m2</v>
      </c>
      <c r="L1043" s="20"/>
    </row>
    <row r="1044" spans="1:13">
      <c r="A1044" s="14">
        <f>A997+1</f>
        <v>22</v>
      </c>
      <c r="B1044" s="14" t="str">
        <f>"TR" &amp; TEXT(A1044,"##000")</f>
        <v>TR022</v>
      </c>
      <c r="C1044" s="14">
        <f>+C997+1</f>
        <v>22</v>
      </c>
      <c r="D1044" s="18"/>
      <c r="E1044" s="591" t="s">
        <v>2304</v>
      </c>
      <c r="F1044" s="592"/>
      <c r="G1044" s="592"/>
      <c r="H1044" s="592"/>
      <c r="I1044" s="327"/>
      <c r="J1044" s="308">
        <f>+J1043</f>
        <v>806.44081431273753</v>
      </c>
      <c r="K1044" s="365" t="str">
        <f>+F1003</f>
        <v>m2</v>
      </c>
      <c r="L1044" s="20"/>
    </row>
    <row r="1045" spans="1:13" ht="16.5" thickBot="1">
      <c r="D1045" s="21"/>
      <c r="E1045" s="30"/>
      <c r="F1045" s="30"/>
      <c r="G1045" s="30"/>
      <c r="H1045" s="30"/>
      <c r="I1045" s="30"/>
      <c r="J1045" s="30"/>
      <c r="K1045" s="349"/>
      <c r="L1045" s="22"/>
    </row>
    <row r="1046" spans="1:13" ht="16.5" thickTop="1">
      <c r="D1046" s="15"/>
      <c r="E1046" s="16"/>
      <c r="F1046" s="16"/>
      <c r="G1046" s="16"/>
      <c r="H1046" s="16"/>
      <c r="I1046" s="16"/>
      <c r="J1046" s="16"/>
      <c r="K1046" s="16"/>
      <c r="L1046" s="17"/>
    </row>
    <row r="1047" spans="1:13">
      <c r="A1047" s="14" t="s">
        <v>1840</v>
      </c>
      <c r="D1047" s="18"/>
      <c r="E1047" s="23" t="s">
        <v>95</v>
      </c>
      <c r="F1047" s="24" t="str">
        <f>VLOOKUP($A1047,DATRUB,3,FALSE)</f>
        <v>RUBRO V:</v>
      </c>
      <c r="G1047" s="599" t="str">
        <f>VLOOKUP($A1047,DATRUB,4,FALSE)</f>
        <v>REVOQUES</v>
      </c>
      <c r="H1047" s="599"/>
      <c r="I1047" s="599"/>
      <c r="J1047" s="599"/>
      <c r="K1047" s="599"/>
      <c r="L1047" s="20"/>
    </row>
    <row r="1048" spans="1:13" ht="35.1" customHeight="1">
      <c r="A1048" s="14" t="s">
        <v>1841</v>
      </c>
      <c r="D1048" s="18"/>
      <c r="E1048" s="23" t="s">
        <v>96</v>
      </c>
      <c r="F1048" s="399">
        <f>VLOOKUP($A1048,DATRUB,3,FALSE)</f>
        <v>5.0999999999999996</v>
      </c>
      <c r="G1048" s="599" t="str">
        <f>VLOOKUP($A1048,DATRUB,4,FALSE)</f>
        <v>Grueso Interior/Exterior</v>
      </c>
      <c r="H1048" s="599"/>
      <c r="I1048" s="599"/>
      <c r="J1048" s="599"/>
      <c r="K1048" s="599"/>
      <c r="L1048" s="20"/>
    </row>
    <row r="1049" spans="1:13" ht="35.1" customHeight="1">
      <c r="A1049" s="14" t="s">
        <v>1841</v>
      </c>
      <c r="D1049" s="18"/>
      <c r="E1049" s="23" t="s">
        <v>97</v>
      </c>
      <c r="F1049" s="399">
        <f>VLOOKUP($A1049,DATRUB,3,FALSE)</f>
        <v>5.0999999999999996</v>
      </c>
      <c r="G1049" s="599" t="str">
        <f>VLOOKUP($A1049,DATRUB,4,FALSE)</f>
        <v>Grueso Interior/Exterior</v>
      </c>
      <c r="H1049" s="599"/>
      <c r="I1049" s="599"/>
      <c r="J1049" s="599"/>
      <c r="K1049" s="599"/>
      <c r="L1049" s="20"/>
    </row>
    <row r="1050" spans="1:13">
      <c r="D1050" s="18"/>
      <c r="E1050" s="23" t="s">
        <v>98</v>
      </c>
      <c r="F1050" s="24" t="str">
        <f>VLOOKUP($A1049,DATRUB,5,FALSE)</f>
        <v>m2</v>
      </c>
      <c r="G1050" s="600"/>
      <c r="H1050" s="600"/>
      <c r="I1050" s="600"/>
      <c r="J1050" s="600"/>
      <c r="K1050" s="600"/>
      <c r="L1050" s="20"/>
    </row>
    <row r="1051" spans="1:13">
      <c r="D1051" s="18"/>
      <c r="E1051" s="24" t="s">
        <v>1158</v>
      </c>
      <c r="F1051" s="25" t="s">
        <v>1250</v>
      </c>
      <c r="G1051" s="24" t="s">
        <v>24</v>
      </c>
      <c r="H1051" s="24" t="s">
        <v>25</v>
      </c>
      <c r="I1051" s="24" t="s">
        <v>24</v>
      </c>
      <c r="J1051" s="24" t="s">
        <v>2298</v>
      </c>
      <c r="K1051" s="24" t="s">
        <v>24</v>
      </c>
      <c r="L1051" s="20"/>
    </row>
    <row r="1052" spans="1:13">
      <c r="D1052" s="18"/>
      <c r="E1052" s="593" t="s">
        <v>99</v>
      </c>
      <c r="F1052" s="594"/>
      <c r="G1052" s="594"/>
      <c r="H1052" s="594"/>
      <c r="I1052" s="594"/>
      <c r="J1052" s="594"/>
      <c r="K1052" s="595"/>
      <c r="L1052" s="20"/>
    </row>
    <row r="1053" spans="1:13">
      <c r="A1053" s="14" t="s">
        <v>2375</v>
      </c>
      <c r="D1053" s="18">
        <v>1</v>
      </c>
      <c r="E1053" s="355" t="str">
        <f t="shared" ref="E1053:E1072" si="198">VLOOKUP($A1053,MATMO,2,FALSE)</f>
        <v>Cemento de Albañilería</v>
      </c>
      <c r="F1053" s="400">
        <v>8.5</v>
      </c>
      <c r="G1053" s="357" t="str">
        <f t="shared" ref="G1053:G1072" si="199">VLOOKUP($A1053,MATMO,3,FALSE)</f>
        <v>kg</v>
      </c>
      <c r="H1053" s="358">
        <f t="shared" ref="H1053:H1072" si="200">VLOOKUP($A1053,MATMO,4,FALSE)*$Q$6</f>
        <v>1.5645</v>
      </c>
      <c r="I1053" s="359" t="str">
        <f t="shared" ref="I1053:I1072" si="201">+G1053</f>
        <v>kg</v>
      </c>
      <c r="J1053" s="361">
        <f>+H1053*F1053</f>
        <v>13.298249999999999</v>
      </c>
      <c r="K1053" s="360" t="s">
        <v>2299</v>
      </c>
      <c r="L1053" s="20"/>
      <c r="M1053" s="14" t="s">
        <v>2005</v>
      </c>
    </row>
    <row r="1054" spans="1:13">
      <c r="A1054" s="14" t="s">
        <v>2366</v>
      </c>
      <c r="D1054" s="18">
        <v>2</v>
      </c>
      <c r="E1054" s="26" t="str">
        <f t="shared" si="198"/>
        <v>Arena</v>
      </c>
      <c r="F1054" s="400">
        <v>0.03</v>
      </c>
      <c r="G1054" s="307" t="str">
        <f t="shared" si="199"/>
        <v>m³</v>
      </c>
      <c r="H1054" s="351">
        <f t="shared" si="200"/>
        <v>170</v>
      </c>
      <c r="I1054" s="354" t="str">
        <f t="shared" si="201"/>
        <v>m³</v>
      </c>
      <c r="J1054" s="350">
        <f t="shared" ref="J1054:J1072" si="202">+H1054*F1054</f>
        <v>5.0999999999999996</v>
      </c>
      <c r="K1054" s="360" t="s">
        <v>2299</v>
      </c>
      <c r="L1054" s="20"/>
    </row>
    <row r="1055" spans="1:13">
      <c r="A1055" s="14" t="s">
        <v>2365</v>
      </c>
      <c r="D1055" s="18">
        <v>3</v>
      </c>
      <c r="E1055" s="26" t="str">
        <f t="shared" si="198"/>
        <v>Cemento Puzolanico</v>
      </c>
      <c r="F1055" s="400">
        <v>1.3</v>
      </c>
      <c r="G1055" s="307" t="str">
        <f t="shared" si="199"/>
        <v>kg</v>
      </c>
      <c r="H1055" s="351">
        <f t="shared" si="200"/>
        <v>2.0474999999999999</v>
      </c>
      <c r="I1055" s="354" t="str">
        <f t="shared" si="201"/>
        <v>kg</v>
      </c>
      <c r="J1055" s="350">
        <f t="shared" si="202"/>
        <v>2.6617500000000001</v>
      </c>
      <c r="K1055" s="360" t="s">
        <v>2299</v>
      </c>
      <c r="L1055" s="20"/>
    </row>
    <row r="1056" spans="1:13">
      <c r="A1056" s="14" t="s">
        <v>31</v>
      </c>
      <c r="D1056" s="18">
        <v>4</v>
      </c>
      <c r="E1056" s="26" t="str">
        <f t="shared" si="198"/>
        <v>-</v>
      </c>
      <c r="F1056" s="311"/>
      <c r="G1056" s="307" t="str">
        <f t="shared" si="199"/>
        <v>-</v>
      </c>
      <c r="H1056" s="351">
        <f t="shared" si="200"/>
        <v>0</v>
      </c>
      <c r="I1056" s="537" t="str">
        <f t="shared" si="201"/>
        <v>-</v>
      </c>
      <c r="J1056" s="538">
        <f t="shared" si="202"/>
        <v>0</v>
      </c>
      <c r="K1056" s="539" t="s">
        <v>2299</v>
      </c>
      <c r="L1056" s="20"/>
    </row>
    <row r="1057" spans="1:12">
      <c r="A1057" s="14" t="s">
        <v>31</v>
      </c>
      <c r="D1057" s="18">
        <v>5</v>
      </c>
      <c r="E1057" s="26" t="str">
        <f t="shared" si="198"/>
        <v>-</v>
      </c>
      <c r="F1057" s="311"/>
      <c r="G1057" s="307" t="str">
        <f t="shared" si="199"/>
        <v>-</v>
      </c>
      <c r="H1057" s="351">
        <f t="shared" si="200"/>
        <v>0</v>
      </c>
      <c r="I1057" s="537" t="str">
        <f t="shared" si="201"/>
        <v>-</v>
      </c>
      <c r="J1057" s="538">
        <f t="shared" si="202"/>
        <v>0</v>
      </c>
      <c r="K1057" s="539" t="s">
        <v>2299</v>
      </c>
      <c r="L1057" s="20"/>
    </row>
    <row r="1058" spans="1:12">
      <c r="A1058" s="14" t="s">
        <v>31</v>
      </c>
      <c r="D1058" s="18">
        <v>6</v>
      </c>
      <c r="E1058" s="26" t="str">
        <f t="shared" si="198"/>
        <v>-</v>
      </c>
      <c r="F1058" s="311"/>
      <c r="G1058" s="307" t="str">
        <f t="shared" si="199"/>
        <v>-</v>
      </c>
      <c r="H1058" s="351">
        <f t="shared" si="200"/>
        <v>0</v>
      </c>
      <c r="I1058" s="537" t="str">
        <f t="shared" si="201"/>
        <v>-</v>
      </c>
      <c r="J1058" s="538">
        <f t="shared" si="202"/>
        <v>0</v>
      </c>
      <c r="K1058" s="539" t="s">
        <v>2299</v>
      </c>
      <c r="L1058" s="20"/>
    </row>
    <row r="1059" spans="1:12">
      <c r="A1059" s="14" t="s">
        <v>31</v>
      </c>
      <c r="D1059" s="18">
        <v>7</v>
      </c>
      <c r="E1059" s="26" t="str">
        <f t="shared" si="198"/>
        <v>-</v>
      </c>
      <c r="F1059" s="311"/>
      <c r="G1059" s="307" t="str">
        <f t="shared" si="199"/>
        <v>-</v>
      </c>
      <c r="H1059" s="351">
        <f t="shared" si="200"/>
        <v>0</v>
      </c>
      <c r="I1059" s="537" t="str">
        <f t="shared" si="201"/>
        <v>-</v>
      </c>
      <c r="J1059" s="538">
        <f t="shared" si="202"/>
        <v>0</v>
      </c>
      <c r="K1059" s="539" t="s">
        <v>2299</v>
      </c>
      <c r="L1059" s="20"/>
    </row>
    <row r="1060" spans="1:12">
      <c r="A1060" s="14" t="s">
        <v>31</v>
      </c>
      <c r="D1060" s="18">
        <v>8</v>
      </c>
      <c r="E1060" s="26" t="str">
        <f t="shared" si="198"/>
        <v>-</v>
      </c>
      <c r="F1060" s="311"/>
      <c r="G1060" s="307" t="str">
        <f t="shared" si="199"/>
        <v>-</v>
      </c>
      <c r="H1060" s="351">
        <f t="shared" si="200"/>
        <v>0</v>
      </c>
      <c r="I1060" s="537" t="str">
        <f t="shared" si="201"/>
        <v>-</v>
      </c>
      <c r="J1060" s="538">
        <f t="shared" si="202"/>
        <v>0</v>
      </c>
      <c r="K1060" s="539" t="s">
        <v>2299</v>
      </c>
      <c r="L1060" s="20"/>
    </row>
    <row r="1061" spans="1:12">
      <c r="A1061" s="14" t="s">
        <v>31</v>
      </c>
      <c r="D1061" s="18">
        <v>9</v>
      </c>
      <c r="E1061" s="26" t="str">
        <f t="shared" si="198"/>
        <v>-</v>
      </c>
      <c r="F1061" s="311"/>
      <c r="G1061" s="307" t="str">
        <f t="shared" si="199"/>
        <v>-</v>
      </c>
      <c r="H1061" s="351">
        <f t="shared" si="200"/>
        <v>0</v>
      </c>
      <c r="I1061" s="537" t="str">
        <f t="shared" si="201"/>
        <v>-</v>
      </c>
      <c r="J1061" s="538">
        <f t="shared" si="202"/>
        <v>0</v>
      </c>
      <c r="K1061" s="539" t="s">
        <v>2299</v>
      </c>
      <c r="L1061" s="20"/>
    </row>
    <row r="1062" spans="1:12">
      <c r="A1062" s="14" t="s">
        <v>31</v>
      </c>
      <c r="D1062" s="18">
        <v>10</v>
      </c>
      <c r="E1062" s="26" t="str">
        <f t="shared" si="198"/>
        <v>-</v>
      </c>
      <c r="F1062" s="311"/>
      <c r="G1062" s="307" t="str">
        <f t="shared" si="199"/>
        <v>-</v>
      </c>
      <c r="H1062" s="351">
        <f t="shared" si="200"/>
        <v>0</v>
      </c>
      <c r="I1062" s="537" t="str">
        <f t="shared" si="201"/>
        <v>-</v>
      </c>
      <c r="J1062" s="538">
        <f t="shared" si="202"/>
        <v>0</v>
      </c>
      <c r="K1062" s="539" t="s">
        <v>2299</v>
      </c>
      <c r="L1062" s="20"/>
    </row>
    <row r="1063" spans="1:12">
      <c r="A1063" s="14" t="s">
        <v>31</v>
      </c>
      <c r="D1063" s="18">
        <v>11</v>
      </c>
      <c r="E1063" s="26" t="str">
        <f t="shared" si="198"/>
        <v>-</v>
      </c>
      <c r="F1063" s="311"/>
      <c r="G1063" s="307" t="str">
        <f t="shared" si="199"/>
        <v>-</v>
      </c>
      <c r="H1063" s="351">
        <f t="shared" si="200"/>
        <v>0</v>
      </c>
      <c r="I1063" s="537" t="str">
        <f t="shared" si="201"/>
        <v>-</v>
      </c>
      <c r="J1063" s="538">
        <f t="shared" si="202"/>
        <v>0</v>
      </c>
      <c r="K1063" s="539" t="s">
        <v>2299</v>
      </c>
      <c r="L1063" s="20"/>
    </row>
    <row r="1064" spans="1:12">
      <c r="A1064" s="14" t="s">
        <v>31</v>
      </c>
      <c r="D1064" s="18">
        <v>12</v>
      </c>
      <c r="E1064" s="26" t="str">
        <f t="shared" si="198"/>
        <v>-</v>
      </c>
      <c r="F1064" s="311"/>
      <c r="G1064" s="307" t="str">
        <f t="shared" si="199"/>
        <v>-</v>
      </c>
      <c r="H1064" s="352">
        <f t="shared" si="200"/>
        <v>0</v>
      </c>
      <c r="I1064" s="537" t="str">
        <f t="shared" si="201"/>
        <v>-</v>
      </c>
      <c r="J1064" s="538">
        <f t="shared" si="202"/>
        <v>0</v>
      </c>
      <c r="K1064" s="539" t="s">
        <v>2299</v>
      </c>
      <c r="L1064" s="20"/>
    </row>
    <row r="1065" spans="1:12">
      <c r="A1065" s="14" t="s">
        <v>31</v>
      </c>
      <c r="D1065" s="18">
        <v>13</v>
      </c>
      <c r="E1065" s="26" t="str">
        <f t="shared" si="198"/>
        <v>-</v>
      </c>
      <c r="F1065" s="311"/>
      <c r="G1065" s="307" t="str">
        <f t="shared" si="199"/>
        <v>-</v>
      </c>
      <c r="H1065" s="352">
        <f t="shared" si="200"/>
        <v>0</v>
      </c>
      <c r="I1065" s="537" t="str">
        <f t="shared" si="201"/>
        <v>-</v>
      </c>
      <c r="J1065" s="538">
        <f t="shared" si="202"/>
        <v>0</v>
      </c>
      <c r="K1065" s="539" t="s">
        <v>2299</v>
      </c>
      <c r="L1065" s="20"/>
    </row>
    <row r="1066" spans="1:12">
      <c r="A1066" s="14" t="s">
        <v>31</v>
      </c>
      <c r="D1066" s="18">
        <v>14</v>
      </c>
      <c r="E1066" s="26" t="str">
        <f t="shared" si="198"/>
        <v>-</v>
      </c>
      <c r="F1066" s="311"/>
      <c r="G1066" s="307" t="str">
        <f t="shared" si="199"/>
        <v>-</v>
      </c>
      <c r="H1066" s="352">
        <f t="shared" si="200"/>
        <v>0</v>
      </c>
      <c r="I1066" s="537" t="str">
        <f t="shared" si="201"/>
        <v>-</v>
      </c>
      <c r="J1066" s="538">
        <f t="shared" si="202"/>
        <v>0</v>
      </c>
      <c r="K1066" s="539" t="s">
        <v>2299</v>
      </c>
      <c r="L1066" s="20"/>
    </row>
    <row r="1067" spans="1:12">
      <c r="A1067" s="14" t="s">
        <v>31</v>
      </c>
      <c r="D1067" s="18">
        <v>15</v>
      </c>
      <c r="E1067" s="26" t="str">
        <f t="shared" si="198"/>
        <v>-</v>
      </c>
      <c r="F1067" s="311"/>
      <c r="G1067" s="307" t="str">
        <f t="shared" si="199"/>
        <v>-</v>
      </c>
      <c r="H1067" s="352">
        <f t="shared" si="200"/>
        <v>0</v>
      </c>
      <c r="I1067" s="537" t="str">
        <f t="shared" si="201"/>
        <v>-</v>
      </c>
      <c r="J1067" s="538">
        <f t="shared" si="202"/>
        <v>0</v>
      </c>
      <c r="K1067" s="539" t="s">
        <v>2299</v>
      </c>
      <c r="L1067" s="20"/>
    </row>
    <row r="1068" spans="1:12">
      <c r="A1068" s="14" t="s">
        <v>31</v>
      </c>
      <c r="D1068" s="18">
        <v>16</v>
      </c>
      <c r="E1068" s="26" t="str">
        <f t="shared" si="198"/>
        <v>-</v>
      </c>
      <c r="F1068" s="311"/>
      <c r="G1068" s="307" t="str">
        <f t="shared" si="199"/>
        <v>-</v>
      </c>
      <c r="H1068" s="352">
        <f t="shared" si="200"/>
        <v>0</v>
      </c>
      <c r="I1068" s="537" t="str">
        <f t="shared" si="201"/>
        <v>-</v>
      </c>
      <c r="J1068" s="538">
        <f t="shared" si="202"/>
        <v>0</v>
      </c>
      <c r="K1068" s="539" t="s">
        <v>2299</v>
      </c>
      <c r="L1068" s="20"/>
    </row>
    <row r="1069" spans="1:12">
      <c r="A1069" s="14" t="s">
        <v>31</v>
      </c>
      <c r="D1069" s="18">
        <v>17</v>
      </c>
      <c r="E1069" s="26" t="str">
        <f t="shared" si="198"/>
        <v>-</v>
      </c>
      <c r="F1069" s="311"/>
      <c r="G1069" s="307" t="str">
        <f t="shared" si="199"/>
        <v>-</v>
      </c>
      <c r="H1069" s="352">
        <f t="shared" si="200"/>
        <v>0</v>
      </c>
      <c r="I1069" s="537" t="str">
        <f t="shared" si="201"/>
        <v>-</v>
      </c>
      <c r="J1069" s="538">
        <f t="shared" si="202"/>
        <v>0</v>
      </c>
      <c r="K1069" s="539" t="s">
        <v>2299</v>
      </c>
      <c r="L1069" s="20"/>
    </row>
    <row r="1070" spans="1:12">
      <c r="A1070" s="14" t="s">
        <v>31</v>
      </c>
      <c r="D1070" s="18">
        <v>18</v>
      </c>
      <c r="E1070" s="26" t="str">
        <f t="shared" si="198"/>
        <v>-</v>
      </c>
      <c r="F1070" s="311"/>
      <c r="G1070" s="307" t="str">
        <f t="shared" si="199"/>
        <v>-</v>
      </c>
      <c r="H1070" s="352">
        <f t="shared" si="200"/>
        <v>0</v>
      </c>
      <c r="I1070" s="537" t="str">
        <f t="shared" si="201"/>
        <v>-</v>
      </c>
      <c r="J1070" s="538">
        <f t="shared" si="202"/>
        <v>0</v>
      </c>
      <c r="K1070" s="539" t="s">
        <v>2299</v>
      </c>
      <c r="L1070" s="20"/>
    </row>
    <row r="1071" spans="1:12">
      <c r="A1071" s="14" t="s">
        <v>31</v>
      </c>
      <c r="D1071" s="18">
        <v>19</v>
      </c>
      <c r="E1071" s="26" t="str">
        <f t="shared" si="198"/>
        <v>-</v>
      </c>
      <c r="F1071" s="311"/>
      <c r="G1071" s="307" t="str">
        <f t="shared" si="199"/>
        <v>-</v>
      </c>
      <c r="H1071" s="352">
        <f t="shared" si="200"/>
        <v>0</v>
      </c>
      <c r="I1071" s="537" t="str">
        <f t="shared" si="201"/>
        <v>-</v>
      </c>
      <c r="J1071" s="538">
        <f t="shared" si="202"/>
        <v>0</v>
      </c>
      <c r="K1071" s="539" t="s">
        <v>2299</v>
      </c>
      <c r="L1071" s="20"/>
    </row>
    <row r="1072" spans="1:12">
      <c r="A1072" s="14" t="s">
        <v>31</v>
      </c>
      <c r="D1072" s="18">
        <v>20</v>
      </c>
      <c r="E1072" s="26" t="str">
        <f t="shared" si="198"/>
        <v>-</v>
      </c>
      <c r="F1072" s="311"/>
      <c r="G1072" s="307" t="str">
        <f t="shared" si="199"/>
        <v>-</v>
      </c>
      <c r="H1072" s="352">
        <f t="shared" si="200"/>
        <v>0</v>
      </c>
      <c r="I1072" s="537" t="str">
        <f t="shared" si="201"/>
        <v>-</v>
      </c>
      <c r="J1072" s="541">
        <f t="shared" si="202"/>
        <v>0</v>
      </c>
      <c r="K1072" s="539" t="s">
        <v>2299</v>
      </c>
      <c r="L1072" s="20"/>
    </row>
    <row r="1073" spans="1:19">
      <c r="A1073" s="14">
        <f>A1040+1</f>
        <v>23</v>
      </c>
      <c r="B1073" s="14" t="str">
        <f>"MA" &amp; TEXT(A1073,"##000")</f>
        <v>MA023</v>
      </c>
      <c r="D1073" s="18"/>
      <c r="E1073" s="591" t="s">
        <v>2302</v>
      </c>
      <c r="F1073" s="592"/>
      <c r="G1073" s="592"/>
      <c r="H1073" s="592"/>
      <c r="I1073" s="327"/>
      <c r="J1073" s="353">
        <f>SUM(J1053:J1072)</f>
        <v>21.06</v>
      </c>
      <c r="K1073" s="365" t="str">
        <f>+F1050</f>
        <v>m2</v>
      </c>
      <c r="L1073" s="20"/>
      <c r="O1073" s="27" t="s">
        <v>1525</v>
      </c>
      <c r="P1073" s="110">
        <v>50</v>
      </c>
    </row>
    <row r="1074" spans="1:19">
      <c r="D1074" s="18"/>
      <c r="E1074" s="593" t="s">
        <v>100</v>
      </c>
      <c r="F1074" s="594"/>
      <c r="G1074" s="594"/>
      <c r="H1074" s="594"/>
      <c r="I1074" s="594"/>
      <c r="J1074" s="595"/>
      <c r="K1074" s="347"/>
      <c r="L1074" s="20"/>
      <c r="O1074" s="27" t="s">
        <v>1524</v>
      </c>
      <c r="P1074" s="110">
        <v>0</v>
      </c>
    </row>
    <row r="1075" spans="1:19">
      <c r="A1075" s="14" t="s">
        <v>84</v>
      </c>
      <c r="D1075" s="18">
        <v>1</v>
      </c>
      <c r="E1075" s="26" t="str">
        <f>VLOOKUP($A1075,MATMO,2,FALSE)</f>
        <v>Oficial</v>
      </c>
      <c r="F1075" s="311">
        <v>0.8</v>
      </c>
      <c r="G1075" s="307" t="str">
        <f>VLOOKUP($A1075,MATMO,3,FALSE)</f>
        <v>hs</v>
      </c>
      <c r="H1075" s="110">
        <f>VLOOKUP($A1075,MATMO,4,FALSE)*$Q$7</f>
        <v>55.38</v>
      </c>
      <c r="I1075" s="354" t="str">
        <f t="shared" ref="I1075:I1079" si="203">+G1075</f>
        <v>hs</v>
      </c>
      <c r="J1075" s="350">
        <f t="shared" ref="J1075:J1079" si="204">+H1075*F1075</f>
        <v>44.304000000000002</v>
      </c>
      <c r="K1075" s="360" t="s">
        <v>2299</v>
      </c>
      <c r="L1075" s="20"/>
      <c r="M1075" s="14" t="s">
        <v>2006</v>
      </c>
      <c r="O1075" s="27" t="s">
        <v>1526</v>
      </c>
      <c r="P1075" s="110">
        <v>0</v>
      </c>
    </row>
    <row r="1076" spans="1:19">
      <c r="A1076" s="14" t="s">
        <v>85</v>
      </c>
      <c r="D1076" s="18">
        <v>2</v>
      </c>
      <c r="E1076" s="26" t="str">
        <f>VLOOKUP($A1076,MATMO,2,FALSE)</f>
        <v>Ayudante</v>
      </c>
      <c r="F1076" s="311">
        <v>0.1</v>
      </c>
      <c r="G1076" s="307" t="str">
        <f>VLOOKUP($A1076,MATMO,3,FALSE)</f>
        <v>hs</v>
      </c>
      <c r="H1076" s="110">
        <f>VLOOKUP($A1076,MATMO,4,FALSE)*$Q$7</f>
        <v>46.87</v>
      </c>
      <c r="I1076" s="354" t="str">
        <f t="shared" si="203"/>
        <v>hs</v>
      </c>
      <c r="J1076" s="350">
        <f t="shared" si="204"/>
        <v>4.6870000000000003</v>
      </c>
      <c r="K1076" s="360" t="s">
        <v>2299</v>
      </c>
      <c r="L1076" s="20"/>
      <c r="O1076" s="27" t="s">
        <v>1527</v>
      </c>
      <c r="P1076" s="110">
        <v>0</v>
      </c>
    </row>
    <row r="1077" spans="1:19">
      <c r="A1077" s="14" t="s">
        <v>2311</v>
      </c>
      <c r="D1077" s="18">
        <v>3</v>
      </c>
      <c r="E1077" s="26" t="str">
        <f>VLOOKUP($A1077,MATMO,2,FALSE)</f>
        <v>Cargas Sociales Oficial</v>
      </c>
      <c r="F1077" s="311">
        <f>+F1075</f>
        <v>0.8</v>
      </c>
      <c r="G1077" s="307" t="str">
        <f>VLOOKUP($A1077,MATMO,3,FALSE)</f>
        <v>hs</v>
      </c>
      <c r="H1077" s="110">
        <f>VLOOKUP($A1077,MATMO,4,FALSE)*$Q$7</f>
        <v>52.742782499999997</v>
      </c>
      <c r="I1077" s="354" t="str">
        <f t="shared" si="203"/>
        <v>hs</v>
      </c>
      <c r="J1077" s="350">
        <f t="shared" si="204"/>
        <v>42.194226</v>
      </c>
      <c r="K1077" s="360" t="s">
        <v>2299</v>
      </c>
      <c r="L1077" s="20"/>
      <c r="O1077" s="27"/>
      <c r="P1077" s="110">
        <v>0</v>
      </c>
    </row>
    <row r="1078" spans="1:19">
      <c r="A1078" s="14" t="s">
        <v>2312</v>
      </c>
      <c r="D1078" s="18">
        <v>4</v>
      </c>
      <c r="E1078" s="26" t="str">
        <f>VLOOKUP($A1078,MATMO,2,FALSE)</f>
        <v>Cargas Sociales Ayudante</v>
      </c>
      <c r="F1078" s="311">
        <f>+F1076</f>
        <v>0.1</v>
      </c>
      <c r="G1078" s="307" t="str">
        <f>VLOOKUP($A1078,MATMO,3,FALSE)</f>
        <v>hs</v>
      </c>
      <c r="H1078" s="110">
        <f>VLOOKUP($A1078,MATMO,4,FALSE)*$Q$7</f>
        <v>45.108248750000001</v>
      </c>
      <c r="I1078" s="354" t="str">
        <f t="shared" si="203"/>
        <v>hs</v>
      </c>
      <c r="J1078" s="350">
        <f t="shared" si="204"/>
        <v>4.510824875</v>
      </c>
      <c r="K1078" s="360" t="s">
        <v>2299</v>
      </c>
      <c r="L1078" s="20"/>
      <c r="O1078" s="27"/>
      <c r="P1078" s="110">
        <v>0</v>
      </c>
    </row>
    <row r="1079" spans="1:19" ht="16.5" thickBot="1">
      <c r="A1079" s="14" t="s">
        <v>83</v>
      </c>
      <c r="D1079" s="18">
        <v>5</v>
      </c>
      <c r="E1079" s="26" t="str">
        <f>VLOOKUP($A1079,MATMO,2,FALSE)</f>
        <v>-</v>
      </c>
      <c r="F1079" s="311"/>
      <c r="G1079" s="307" t="str">
        <f>VLOOKUP($A1079,MATMO,3,FALSE)</f>
        <v>-</v>
      </c>
      <c r="H1079" s="110">
        <f>VLOOKUP($A1079,MATMO,4,FALSE)*$Q$7</f>
        <v>0</v>
      </c>
      <c r="I1079" s="537" t="str">
        <f t="shared" si="203"/>
        <v>-</v>
      </c>
      <c r="J1079" s="538">
        <f t="shared" si="204"/>
        <v>0</v>
      </c>
      <c r="K1079" s="539" t="s">
        <v>2299</v>
      </c>
      <c r="L1079" s="20"/>
      <c r="O1079" s="27"/>
      <c r="P1079" s="110">
        <v>0</v>
      </c>
      <c r="R1079" s="29" t="s">
        <v>2307</v>
      </c>
    </row>
    <row r="1080" spans="1:19" ht="16.5" thickBot="1">
      <c r="A1080" s="14">
        <f>A1040+1</f>
        <v>23</v>
      </c>
      <c r="B1080" s="14" t="str">
        <f>"MO" &amp; TEXT(A1080,"##000")</f>
        <v>MO023</v>
      </c>
      <c r="D1080" s="18"/>
      <c r="E1080" s="591" t="s">
        <v>2301</v>
      </c>
      <c r="F1080" s="592"/>
      <c r="G1080" s="592"/>
      <c r="H1080" s="592"/>
      <c r="I1080" s="327"/>
      <c r="J1080" s="362">
        <f>SUM(J1075:J1079)</f>
        <v>95.696050874999997</v>
      </c>
      <c r="K1080" s="365" t="str">
        <f>+G1075</f>
        <v>hs</v>
      </c>
      <c r="L1080" s="20"/>
      <c r="N1080" s="111">
        <f>+P1080+R1080</f>
        <v>95</v>
      </c>
      <c r="O1080" s="27"/>
      <c r="P1080" s="27">
        <f>SUM(P1073:P1079)</f>
        <v>50</v>
      </c>
      <c r="Q1080" s="26">
        <v>0.9</v>
      </c>
      <c r="R1080" s="287">
        <f>+Q1080*P1080</f>
        <v>45</v>
      </c>
      <c r="S1080" s="288"/>
    </row>
    <row r="1081" spans="1:19">
      <c r="D1081" s="18"/>
      <c r="E1081" s="593" t="s">
        <v>101</v>
      </c>
      <c r="F1081" s="594"/>
      <c r="G1081" s="594"/>
      <c r="H1081" s="594"/>
      <c r="I1081" s="594"/>
      <c r="J1081" s="595"/>
      <c r="K1081" s="347"/>
      <c r="L1081" s="20"/>
      <c r="P1081" s="14" t="s">
        <v>2308</v>
      </c>
    </row>
    <row r="1082" spans="1:19">
      <c r="A1082" s="14" t="s">
        <v>119</v>
      </c>
      <c r="D1082" s="18">
        <v>1</v>
      </c>
      <c r="E1082" s="26" t="str">
        <f>VLOOKUP($A1082,MATMO,2,FALSE)</f>
        <v>Herramientas de Mano</v>
      </c>
      <c r="F1082" s="311">
        <v>1</v>
      </c>
      <c r="G1082" s="307" t="str">
        <f>VLOOKUP($A1082,MATMO,3,FALSE)</f>
        <v>gl</v>
      </c>
      <c r="H1082" s="110">
        <f>+(J1073+J1080)*$Q$5</f>
        <v>4.6702420350000002</v>
      </c>
      <c r="I1082" s="345" t="str">
        <f>+G1082</f>
        <v>gl</v>
      </c>
      <c r="J1082" s="350">
        <f t="shared" ref="J1082:J1086" si="205">+H1082*F1082</f>
        <v>4.6702420350000002</v>
      </c>
      <c r="K1082" s="360" t="s">
        <v>2299</v>
      </c>
      <c r="L1082" s="20"/>
      <c r="M1082" s="14" t="s">
        <v>2004</v>
      </c>
    </row>
    <row r="1083" spans="1:19">
      <c r="A1083" s="14" t="s">
        <v>121</v>
      </c>
      <c r="D1083" s="18">
        <v>2</v>
      </c>
      <c r="E1083" s="26" t="str">
        <f>VLOOKUP($A1083,MATMO,2,FALSE)</f>
        <v>Hormigonera</v>
      </c>
      <c r="F1083" s="311">
        <v>0.05</v>
      </c>
      <c r="G1083" s="307" t="str">
        <f>VLOOKUP($A1083,MATMO,3,FALSE)</f>
        <v>hs</v>
      </c>
      <c r="H1083" s="110">
        <f>VLOOKUP($A1083,MATMO,4,FALSE)*$Q$6</f>
        <v>301.3085399449036</v>
      </c>
      <c r="I1083" s="345" t="str">
        <f t="shared" ref="I1083:I1086" si="206">+G1083</f>
        <v>hs</v>
      </c>
      <c r="J1083" s="350">
        <f t="shared" si="205"/>
        <v>15.065426997245181</v>
      </c>
      <c r="K1083" s="360" t="s">
        <v>2299</v>
      </c>
      <c r="L1083" s="20"/>
    </row>
    <row r="1084" spans="1:19">
      <c r="A1084" s="14" t="s">
        <v>118</v>
      </c>
      <c r="D1084" s="18">
        <v>3</v>
      </c>
      <c r="E1084" s="26" t="str">
        <f>VLOOKUP($A1084,MATMO,2,FALSE)</f>
        <v>-</v>
      </c>
      <c r="F1084" s="311"/>
      <c r="G1084" s="307" t="str">
        <f>VLOOKUP($A1084,MATMO,3,FALSE)</f>
        <v>-</v>
      </c>
      <c r="H1084" s="110">
        <f>VLOOKUP($A1084,MATMO,4,FALSE)*$Q$6</f>
        <v>0</v>
      </c>
      <c r="I1084" s="543" t="str">
        <f t="shared" si="206"/>
        <v>-</v>
      </c>
      <c r="J1084" s="538">
        <f t="shared" si="205"/>
        <v>0</v>
      </c>
      <c r="K1084" s="539" t="s">
        <v>2299</v>
      </c>
      <c r="L1084" s="20"/>
    </row>
    <row r="1085" spans="1:19">
      <c r="A1085" s="14" t="s">
        <v>118</v>
      </c>
      <c r="D1085" s="18">
        <v>4</v>
      </c>
      <c r="E1085" s="26" t="str">
        <f>VLOOKUP($A1085,MATMO,2,FALSE)</f>
        <v>-</v>
      </c>
      <c r="F1085" s="311"/>
      <c r="G1085" s="307" t="str">
        <f>VLOOKUP($A1085,MATMO,3,FALSE)</f>
        <v>-</v>
      </c>
      <c r="H1085" s="110">
        <f>VLOOKUP($A1085,MATMO,4,FALSE)*$Q$6</f>
        <v>0</v>
      </c>
      <c r="I1085" s="543" t="str">
        <f t="shared" si="206"/>
        <v>-</v>
      </c>
      <c r="J1085" s="538">
        <f t="shared" si="205"/>
        <v>0</v>
      </c>
      <c r="K1085" s="539" t="s">
        <v>2299</v>
      </c>
      <c r="L1085" s="20"/>
    </row>
    <row r="1086" spans="1:19">
      <c r="A1086" s="14" t="s">
        <v>118</v>
      </c>
      <c r="D1086" s="18">
        <v>5</v>
      </c>
      <c r="E1086" s="26" t="str">
        <f>VLOOKUP($A1086,MATMO,2,FALSE)</f>
        <v>-</v>
      </c>
      <c r="F1086" s="311"/>
      <c r="G1086" s="307" t="str">
        <f>VLOOKUP($A1086,MATMO,3,FALSE)</f>
        <v>-</v>
      </c>
      <c r="H1086" s="110">
        <f>VLOOKUP($A1086,MATMO,4,FALSE)*$Q$6</f>
        <v>0</v>
      </c>
      <c r="I1086" s="543" t="str">
        <f t="shared" si="206"/>
        <v>-</v>
      </c>
      <c r="J1086" s="538">
        <f t="shared" si="205"/>
        <v>0</v>
      </c>
      <c r="K1086" s="539" t="s">
        <v>2299</v>
      </c>
      <c r="L1086" s="20"/>
    </row>
    <row r="1087" spans="1:19">
      <c r="A1087" s="14">
        <f>A1040+1</f>
        <v>23</v>
      </c>
      <c r="B1087" s="14" t="str">
        <f>"E" &amp; TEXT(A1087,"##000")</f>
        <v>E023</v>
      </c>
      <c r="D1087" s="18"/>
      <c r="E1087" s="591" t="s">
        <v>2300</v>
      </c>
      <c r="F1087" s="592"/>
      <c r="G1087" s="592"/>
      <c r="H1087" s="592"/>
      <c r="I1087" s="327"/>
      <c r="J1087" s="362">
        <f>SUM(J1082:J1086)</f>
        <v>19.73566903224518</v>
      </c>
      <c r="K1087" s="365" t="s">
        <v>116</v>
      </c>
      <c r="L1087" s="20"/>
    </row>
    <row r="1088" spans="1:19">
      <c r="D1088" s="18"/>
      <c r="E1088" s="596"/>
      <c r="F1088" s="597"/>
      <c r="G1088" s="597"/>
      <c r="H1088" s="597"/>
      <c r="I1088" s="597"/>
      <c r="J1088" s="598"/>
      <c r="K1088" s="348"/>
      <c r="L1088" s="20"/>
    </row>
    <row r="1089" spans="1:13">
      <c r="D1089" s="18"/>
      <c r="E1089" s="591" t="s">
        <v>2306</v>
      </c>
      <c r="F1089" s="592"/>
      <c r="G1089" s="592"/>
      <c r="H1089" s="592"/>
      <c r="I1089" s="327"/>
      <c r="J1089" s="308">
        <f>+J1087+J1080+J1073</f>
        <v>136.49171990724517</v>
      </c>
      <c r="K1089" s="365" t="str">
        <f>+F1050</f>
        <v>m2</v>
      </c>
      <c r="L1089" s="20"/>
    </row>
    <row r="1090" spans="1:13">
      <c r="D1090" s="18"/>
      <c r="E1090" s="591" t="s">
        <v>2305</v>
      </c>
      <c r="F1090" s="592"/>
      <c r="G1090" s="592"/>
      <c r="H1090" s="592"/>
      <c r="I1090" s="406">
        <f>+$Q$9</f>
        <v>1.6902999999999999</v>
      </c>
      <c r="J1090" s="308">
        <f>+$Q$9*J1089</f>
        <v>230.7119541592165</v>
      </c>
      <c r="K1090" s="365" t="str">
        <f>+F1050</f>
        <v>m2</v>
      </c>
      <c r="L1090" s="20"/>
    </row>
    <row r="1091" spans="1:13">
      <c r="A1091" s="14">
        <f>A1044+1</f>
        <v>23</v>
      </c>
      <c r="B1091" s="14" t="str">
        <f>"TR" &amp; TEXT(A1091,"##000")</f>
        <v>TR023</v>
      </c>
      <c r="C1091" s="14">
        <f>+C1044+1</f>
        <v>23</v>
      </c>
      <c r="D1091" s="18"/>
      <c r="E1091" s="591" t="s">
        <v>2304</v>
      </c>
      <c r="F1091" s="592"/>
      <c r="G1091" s="592"/>
      <c r="H1091" s="592"/>
      <c r="I1091" s="327"/>
      <c r="J1091" s="308">
        <f>+J1090</f>
        <v>230.7119541592165</v>
      </c>
      <c r="K1091" s="365" t="str">
        <f>+F1050</f>
        <v>m2</v>
      </c>
      <c r="L1091" s="20"/>
    </row>
    <row r="1092" spans="1:13" ht="16.5" thickBot="1">
      <c r="D1092" s="21"/>
      <c r="E1092" s="30"/>
      <c r="F1092" s="30"/>
      <c r="G1092" s="30"/>
      <c r="H1092" s="30"/>
      <c r="I1092" s="30"/>
      <c r="J1092" s="30"/>
      <c r="K1092" s="349"/>
      <c r="L1092" s="22"/>
    </row>
    <row r="1093" spans="1:13" ht="16.5" thickTop="1">
      <c r="D1093" s="15"/>
      <c r="E1093" s="16"/>
      <c r="F1093" s="16"/>
      <c r="G1093" s="16"/>
      <c r="H1093" s="16"/>
      <c r="I1093" s="16"/>
      <c r="J1093" s="16"/>
      <c r="K1093" s="16"/>
      <c r="L1093" s="17"/>
    </row>
    <row r="1094" spans="1:13">
      <c r="A1094" s="14" t="s">
        <v>1840</v>
      </c>
      <c r="D1094" s="18"/>
      <c r="E1094" s="23" t="s">
        <v>95</v>
      </c>
      <c r="F1094" s="24" t="str">
        <f>VLOOKUP($A1094,DATRUB,3,FALSE)</f>
        <v>RUBRO V:</v>
      </c>
      <c r="G1094" s="599" t="str">
        <f>VLOOKUP($A1094,DATRUB,4,FALSE)</f>
        <v>REVOQUES</v>
      </c>
      <c r="H1094" s="599"/>
      <c r="I1094" s="599"/>
      <c r="J1094" s="599"/>
      <c r="K1094" s="599"/>
      <c r="L1094" s="20"/>
    </row>
    <row r="1095" spans="1:13" ht="35.1" customHeight="1">
      <c r="A1095" s="14" t="s">
        <v>1842</v>
      </c>
      <c r="D1095" s="18"/>
      <c r="E1095" s="23" t="s">
        <v>96</v>
      </c>
      <c r="F1095" s="399">
        <f>VLOOKUP($A1095,DATRUB,3,FALSE)</f>
        <v>5.2</v>
      </c>
      <c r="G1095" s="599" t="str">
        <f>VLOOKUP($A1095,DATRUB,4,FALSE)</f>
        <v>Enlucido a la cal Interior</v>
      </c>
      <c r="H1095" s="599"/>
      <c r="I1095" s="599"/>
      <c r="J1095" s="599"/>
      <c r="K1095" s="599"/>
      <c r="L1095" s="20"/>
    </row>
    <row r="1096" spans="1:13" ht="35.1" customHeight="1">
      <c r="A1096" s="14" t="s">
        <v>1842</v>
      </c>
      <c r="D1096" s="18"/>
      <c r="E1096" s="23" t="s">
        <v>97</v>
      </c>
      <c r="F1096" s="399">
        <f>VLOOKUP($A1096,DATRUB,3,FALSE)</f>
        <v>5.2</v>
      </c>
      <c r="G1096" s="599" t="str">
        <f>VLOOKUP($A1096,DATRUB,4,FALSE)</f>
        <v>Enlucido a la cal Interior</v>
      </c>
      <c r="H1096" s="599"/>
      <c r="I1096" s="599"/>
      <c r="J1096" s="599"/>
      <c r="K1096" s="599"/>
      <c r="L1096" s="20"/>
    </row>
    <row r="1097" spans="1:13">
      <c r="D1097" s="18"/>
      <c r="E1097" s="23" t="s">
        <v>98</v>
      </c>
      <c r="F1097" s="24" t="str">
        <f>VLOOKUP($A1096,DATRUB,5,FALSE)</f>
        <v>m2</v>
      </c>
      <c r="G1097" s="600"/>
      <c r="H1097" s="600"/>
      <c r="I1097" s="600"/>
      <c r="J1097" s="600"/>
      <c r="K1097" s="600"/>
      <c r="L1097" s="20"/>
    </row>
    <row r="1098" spans="1:13">
      <c r="D1098" s="18"/>
      <c r="E1098" s="24" t="s">
        <v>1158</v>
      </c>
      <c r="F1098" s="25" t="s">
        <v>1250</v>
      </c>
      <c r="G1098" s="24" t="s">
        <v>24</v>
      </c>
      <c r="H1098" s="24" t="s">
        <v>25</v>
      </c>
      <c r="I1098" s="24" t="s">
        <v>24</v>
      </c>
      <c r="J1098" s="24" t="s">
        <v>2298</v>
      </c>
      <c r="K1098" s="24" t="s">
        <v>24</v>
      </c>
      <c r="L1098" s="20"/>
    </row>
    <row r="1099" spans="1:13">
      <c r="D1099" s="18"/>
      <c r="E1099" s="593" t="s">
        <v>99</v>
      </c>
      <c r="F1099" s="594"/>
      <c r="G1099" s="594"/>
      <c r="H1099" s="594"/>
      <c r="I1099" s="594"/>
      <c r="J1099" s="594"/>
      <c r="K1099" s="595"/>
      <c r="L1099" s="20"/>
    </row>
    <row r="1100" spans="1:13">
      <c r="A1100" s="14" t="s">
        <v>2375</v>
      </c>
      <c r="D1100" s="18">
        <v>1</v>
      </c>
      <c r="E1100" s="355" t="str">
        <f t="shared" ref="E1100:E1119" si="207">VLOOKUP($A1100,MATMO,2,FALSE)</f>
        <v>Cemento de Albañilería</v>
      </c>
      <c r="F1100" s="400">
        <v>1</v>
      </c>
      <c r="G1100" s="357" t="str">
        <f t="shared" ref="G1100:G1119" si="208">VLOOKUP($A1100,MATMO,3,FALSE)</f>
        <v>kg</v>
      </c>
      <c r="H1100" s="358">
        <f t="shared" ref="H1100:H1119" si="209">VLOOKUP($A1100,MATMO,4,FALSE)*$Q$6</f>
        <v>1.5645</v>
      </c>
      <c r="I1100" s="359" t="str">
        <f t="shared" ref="I1100:I1119" si="210">+G1100</f>
        <v>kg</v>
      </c>
      <c r="J1100" s="361">
        <f>+H1100*F1100</f>
        <v>1.5645</v>
      </c>
      <c r="K1100" s="360" t="s">
        <v>2299</v>
      </c>
      <c r="L1100" s="20"/>
      <c r="M1100" s="14" t="s">
        <v>2005</v>
      </c>
    </row>
    <row r="1101" spans="1:13">
      <c r="A1101" s="14" t="s">
        <v>2379</v>
      </c>
      <c r="D1101" s="18">
        <v>2</v>
      </c>
      <c r="E1101" s="26" t="str">
        <f t="shared" si="207"/>
        <v>Arena Fina</v>
      </c>
      <c r="F1101" s="400">
        <v>0.01</v>
      </c>
      <c r="G1101" s="307" t="str">
        <f t="shared" si="208"/>
        <v>m³</v>
      </c>
      <c r="H1101" s="351">
        <f t="shared" si="209"/>
        <v>200</v>
      </c>
      <c r="I1101" s="354" t="str">
        <f t="shared" si="210"/>
        <v>m³</v>
      </c>
      <c r="J1101" s="350">
        <f t="shared" ref="J1101:J1119" si="211">+H1101*F1101</f>
        <v>2</v>
      </c>
      <c r="K1101" s="360" t="s">
        <v>2299</v>
      </c>
      <c r="L1101" s="20"/>
    </row>
    <row r="1102" spans="1:13">
      <c r="A1102" s="14" t="s">
        <v>2380</v>
      </c>
      <c r="D1102" s="18">
        <v>3</v>
      </c>
      <c r="E1102" s="26" t="str">
        <f t="shared" si="207"/>
        <v>Cal</v>
      </c>
      <c r="F1102" s="400">
        <v>1</v>
      </c>
      <c r="G1102" s="307" t="str">
        <f t="shared" si="208"/>
        <v>kg</v>
      </c>
      <c r="H1102" s="351">
        <f t="shared" si="209"/>
        <v>1.45</v>
      </c>
      <c r="I1102" s="354" t="str">
        <f t="shared" si="210"/>
        <v>kg</v>
      </c>
      <c r="J1102" s="350">
        <f t="shared" si="211"/>
        <v>1.45</v>
      </c>
      <c r="K1102" s="360" t="s">
        <v>2299</v>
      </c>
      <c r="L1102" s="20"/>
    </row>
    <row r="1103" spans="1:13">
      <c r="A1103" s="14" t="s">
        <v>31</v>
      </c>
      <c r="D1103" s="18">
        <v>4</v>
      </c>
      <c r="E1103" s="26" t="str">
        <f t="shared" si="207"/>
        <v>-</v>
      </c>
      <c r="F1103" s="311"/>
      <c r="G1103" s="307" t="str">
        <f t="shared" si="208"/>
        <v>-</v>
      </c>
      <c r="H1103" s="351">
        <f t="shared" si="209"/>
        <v>0</v>
      </c>
      <c r="I1103" s="537" t="str">
        <f t="shared" si="210"/>
        <v>-</v>
      </c>
      <c r="J1103" s="538">
        <f t="shared" si="211"/>
        <v>0</v>
      </c>
      <c r="K1103" s="539" t="s">
        <v>2299</v>
      </c>
      <c r="L1103" s="20"/>
    </row>
    <row r="1104" spans="1:13">
      <c r="A1104" s="14" t="s">
        <v>31</v>
      </c>
      <c r="D1104" s="18">
        <v>5</v>
      </c>
      <c r="E1104" s="26" t="str">
        <f t="shared" si="207"/>
        <v>-</v>
      </c>
      <c r="F1104" s="311"/>
      <c r="G1104" s="307" t="str">
        <f t="shared" si="208"/>
        <v>-</v>
      </c>
      <c r="H1104" s="351">
        <f t="shared" si="209"/>
        <v>0</v>
      </c>
      <c r="I1104" s="537" t="str">
        <f t="shared" si="210"/>
        <v>-</v>
      </c>
      <c r="J1104" s="538">
        <f t="shared" si="211"/>
        <v>0</v>
      </c>
      <c r="K1104" s="539" t="s">
        <v>2299</v>
      </c>
      <c r="L1104" s="20"/>
    </row>
    <row r="1105" spans="1:16">
      <c r="A1105" s="14" t="s">
        <v>31</v>
      </c>
      <c r="D1105" s="18">
        <v>6</v>
      </c>
      <c r="E1105" s="26" t="str">
        <f t="shared" si="207"/>
        <v>-</v>
      </c>
      <c r="F1105" s="311"/>
      <c r="G1105" s="307" t="str">
        <f t="shared" si="208"/>
        <v>-</v>
      </c>
      <c r="H1105" s="351">
        <f t="shared" si="209"/>
        <v>0</v>
      </c>
      <c r="I1105" s="537" t="str">
        <f t="shared" si="210"/>
        <v>-</v>
      </c>
      <c r="J1105" s="538">
        <f t="shared" si="211"/>
        <v>0</v>
      </c>
      <c r="K1105" s="539" t="s">
        <v>2299</v>
      </c>
      <c r="L1105" s="20"/>
    </row>
    <row r="1106" spans="1:16">
      <c r="A1106" s="14" t="s">
        <v>31</v>
      </c>
      <c r="D1106" s="18">
        <v>7</v>
      </c>
      <c r="E1106" s="26" t="str">
        <f t="shared" si="207"/>
        <v>-</v>
      </c>
      <c r="F1106" s="311"/>
      <c r="G1106" s="307" t="str">
        <f t="shared" si="208"/>
        <v>-</v>
      </c>
      <c r="H1106" s="351">
        <f t="shared" si="209"/>
        <v>0</v>
      </c>
      <c r="I1106" s="537" t="str">
        <f t="shared" si="210"/>
        <v>-</v>
      </c>
      <c r="J1106" s="538">
        <f t="shared" si="211"/>
        <v>0</v>
      </c>
      <c r="K1106" s="539" t="s">
        <v>2299</v>
      </c>
      <c r="L1106" s="20"/>
    </row>
    <row r="1107" spans="1:16">
      <c r="A1107" s="14" t="s">
        <v>31</v>
      </c>
      <c r="D1107" s="18">
        <v>8</v>
      </c>
      <c r="E1107" s="26" t="str">
        <f t="shared" si="207"/>
        <v>-</v>
      </c>
      <c r="F1107" s="311"/>
      <c r="G1107" s="307" t="str">
        <f t="shared" si="208"/>
        <v>-</v>
      </c>
      <c r="H1107" s="351">
        <f t="shared" si="209"/>
        <v>0</v>
      </c>
      <c r="I1107" s="537" t="str">
        <f t="shared" si="210"/>
        <v>-</v>
      </c>
      <c r="J1107" s="538">
        <f t="shared" si="211"/>
        <v>0</v>
      </c>
      <c r="K1107" s="539" t="s">
        <v>2299</v>
      </c>
      <c r="L1107" s="20"/>
    </row>
    <row r="1108" spans="1:16">
      <c r="A1108" s="14" t="s">
        <v>31</v>
      </c>
      <c r="D1108" s="18">
        <v>9</v>
      </c>
      <c r="E1108" s="26" t="str">
        <f t="shared" si="207"/>
        <v>-</v>
      </c>
      <c r="F1108" s="311"/>
      <c r="G1108" s="307" t="str">
        <f t="shared" si="208"/>
        <v>-</v>
      </c>
      <c r="H1108" s="351">
        <f t="shared" si="209"/>
        <v>0</v>
      </c>
      <c r="I1108" s="537" t="str">
        <f t="shared" si="210"/>
        <v>-</v>
      </c>
      <c r="J1108" s="538">
        <f t="shared" si="211"/>
        <v>0</v>
      </c>
      <c r="K1108" s="539" t="s">
        <v>2299</v>
      </c>
      <c r="L1108" s="20"/>
    </row>
    <row r="1109" spans="1:16">
      <c r="A1109" s="14" t="s">
        <v>31</v>
      </c>
      <c r="D1109" s="18">
        <v>10</v>
      </c>
      <c r="E1109" s="26" t="str">
        <f t="shared" si="207"/>
        <v>-</v>
      </c>
      <c r="F1109" s="311"/>
      <c r="G1109" s="307" t="str">
        <f t="shared" si="208"/>
        <v>-</v>
      </c>
      <c r="H1109" s="351">
        <f t="shared" si="209"/>
        <v>0</v>
      </c>
      <c r="I1109" s="537" t="str">
        <f t="shared" si="210"/>
        <v>-</v>
      </c>
      <c r="J1109" s="538">
        <f t="shared" si="211"/>
        <v>0</v>
      </c>
      <c r="K1109" s="539" t="s">
        <v>2299</v>
      </c>
      <c r="L1109" s="20"/>
    </row>
    <row r="1110" spans="1:16">
      <c r="A1110" s="14" t="s">
        <v>31</v>
      </c>
      <c r="D1110" s="18">
        <v>11</v>
      </c>
      <c r="E1110" s="26" t="str">
        <f t="shared" si="207"/>
        <v>-</v>
      </c>
      <c r="F1110" s="311"/>
      <c r="G1110" s="307" t="str">
        <f t="shared" si="208"/>
        <v>-</v>
      </c>
      <c r="H1110" s="351">
        <f t="shared" si="209"/>
        <v>0</v>
      </c>
      <c r="I1110" s="537" t="str">
        <f t="shared" si="210"/>
        <v>-</v>
      </c>
      <c r="J1110" s="538">
        <f t="shared" si="211"/>
        <v>0</v>
      </c>
      <c r="K1110" s="539" t="s">
        <v>2299</v>
      </c>
      <c r="L1110" s="20"/>
    </row>
    <row r="1111" spans="1:16">
      <c r="A1111" s="14" t="s">
        <v>31</v>
      </c>
      <c r="D1111" s="18">
        <v>12</v>
      </c>
      <c r="E1111" s="26" t="str">
        <f t="shared" si="207"/>
        <v>-</v>
      </c>
      <c r="F1111" s="311"/>
      <c r="G1111" s="307" t="str">
        <f t="shared" si="208"/>
        <v>-</v>
      </c>
      <c r="H1111" s="352">
        <f t="shared" si="209"/>
        <v>0</v>
      </c>
      <c r="I1111" s="537" t="str">
        <f t="shared" si="210"/>
        <v>-</v>
      </c>
      <c r="J1111" s="538">
        <f t="shared" si="211"/>
        <v>0</v>
      </c>
      <c r="K1111" s="539" t="s">
        <v>2299</v>
      </c>
      <c r="L1111" s="20"/>
    </row>
    <row r="1112" spans="1:16">
      <c r="A1112" s="14" t="s">
        <v>31</v>
      </c>
      <c r="D1112" s="18">
        <v>13</v>
      </c>
      <c r="E1112" s="26" t="str">
        <f t="shared" si="207"/>
        <v>-</v>
      </c>
      <c r="F1112" s="311"/>
      <c r="G1112" s="307" t="str">
        <f t="shared" si="208"/>
        <v>-</v>
      </c>
      <c r="H1112" s="352">
        <f t="shared" si="209"/>
        <v>0</v>
      </c>
      <c r="I1112" s="537" t="str">
        <f t="shared" si="210"/>
        <v>-</v>
      </c>
      <c r="J1112" s="538">
        <f t="shared" si="211"/>
        <v>0</v>
      </c>
      <c r="K1112" s="539" t="s">
        <v>2299</v>
      </c>
      <c r="L1112" s="20"/>
    </row>
    <row r="1113" spans="1:16">
      <c r="A1113" s="14" t="s">
        <v>31</v>
      </c>
      <c r="D1113" s="18">
        <v>14</v>
      </c>
      <c r="E1113" s="26" t="str">
        <f t="shared" si="207"/>
        <v>-</v>
      </c>
      <c r="F1113" s="311"/>
      <c r="G1113" s="307" t="str">
        <f t="shared" si="208"/>
        <v>-</v>
      </c>
      <c r="H1113" s="352">
        <f t="shared" si="209"/>
        <v>0</v>
      </c>
      <c r="I1113" s="537" t="str">
        <f t="shared" si="210"/>
        <v>-</v>
      </c>
      <c r="J1113" s="538">
        <f t="shared" si="211"/>
        <v>0</v>
      </c>
      <c r="K1113" s="539" t="s">
        <v>2299</v>
      </c>
      <c r="L1113" s="20"/>
    </row>
    <row r="1114" spans="1:16">
      <c r="A1114" s="14" t="s">
        <v>31</v>
      </c>
      <c r="D1114" s="18">
        <v>15</v>
      </c>
      <c r="E1114" s="26" t="str">
        <f t="shared" si="207"/>
        <v>-</v>
      </c>
      <c r="F1114" s="311"/>
      <c r="G1114" s="307" t="str">
        <f t="shared" si="208"/>
        <v>-</v>
      </c>
      <c r="H1114" s="352">
        <f t="shared" si="209"/>
        <v>0</v>
      </c>
      <c r="I1114" s="537" t="str">
        <f t="shared" si="210"/>
        <v>-</v>
      </c>
      <c r="J1114" s="538">
        <f t="shared" si="211"/>
        <v>0</v>
      </c>
      <c r="K1114" s="539" t="s">
        <v>2299</v>
      </c>
      <c r="L1114" s="20"/>
    </row>
    <row r="1115" spans="1:16">
      <c r="A1115" s="14" t="s">
        <v>31</v>
      </c>
      <c r="D1115" s="18">
        <v>16</v>
      </c>
      <c r="E1115" s="26" t="str">
        <f t="shared" si="207"/>
        <v>-</v>
      </c>
      <c r="F1115" s="311"/>
      <c r="G1115" s="307" t="str">
        <f t="shared" si="208"/>
        <v>-</v>
      </c>
      <c r="H1115" s="352">
        <f t="shared" si="209"/>
        <v>0</v>
      </c>
      <c r="I1115" s="537" t="str">
        <f t="shared" si="210"/>
        <v>-</v>
      </c>
      <c r="J1115" s="538">
        <f t="shared" si="211"/>
        <v>0</v>
      </c>
      <c r="K1115" s="539" t="s">
        <v>2299</v>
      </c>
      <c r="L1115" s="20"/>
    </row>
    <row r="1116" spans="1:16">
      <c r="A1116" s="14" t="s">
        <v>31</v>
      </c>
      <c r="D1116" s="18">
        <v>17</v>
      </c>
      <c r="E1116" s="26" t="str">
        <f t="shared" si="207"/>
        <v>-</v>
      </c>
      <c r="F1116" s="311"/>
      <c r="G1116" s="307" t="str">
        <f t="shared" si="208"/>
        <v>-</v>
      </c>
      <c r="H1116" s="352">
        <f t="shared" si="209"/>
        <v>0</v>
      </c>
      <c r="I1116" s="537" t="str">
        <f t="shared" si="210"/>
        <v>-</v>
      </c>
      <c r="J1116" s="538">
        <f t="shared" si="211"/>
        <v>0</v>
      </c>
      <c r="K1116" s="539" t="s">
        <v>2299</v>
      </c>
      <c r="L1116" s="20"/>
    </row>
    <row r="1117" spans="1:16">
      <c r="A1117" s="14" t="s">
        <v>31</v>
      </c>
      <c r="D1117" s="18">
        <v>18</v>
      </c>
      <c r="E1117" s="26" t="str">
        <f t="shared" si="207"/>
        <v>-</v>
      </c>
      <c r="F1117" s="311"/>
      <c r="G1117" s="307" t="str">
        <f t="shared" si="208"/>
        <v>-</v>
      </c>
      <c r="H1117" s="352">
        <f t="shared" si="209"/>
        <v>0</v>
      </c>
      <c r="I1117" s="537" t="str">
        <f t="shared" si="210"/>
        <v>-</v>
      </c>
      <c r="J1117" s="538">
        <f t="shared" si="211"/>
        <v>0</v>
      </c>
      <c r="K1117" s="539" t="s">
        <v>2299</v>
      </c>
      <c r="L1117" s="20"/>
    </row>
    <row r="1118" spans="1:16">
      <c r="A1118" s="14" t="s">
        <v>31</v>
      </c>
      <c r="D1118" s="18">
        <v>19</v>
      </c>
      <c r="E1118" s="26" t="str">
        <f t="shared" si="207"/>
        <v>-</v>
      </c>
      <c r="F1118" s="311"/>
      <c r="G1118" s="307" t="str">
        <f t="shared" si="208"/>
        <v>-</v>
      </c>
      <c r="H1118" s="352">
        <f t="shared" si="209"/>
        <v>0</v>
      </c>
      <c r="I1118" s="537" t="str">
        <f t="shared" si="210"/>
        <v>-</v>
      </c>
      <c r="J1118" s="538">
        <f t="shared" si="211"/>
        <v>0</v>
      </c>
      <c r="K1118" s="539" t="s">
        <v>2299</v>
      </c>
      <c r="L1118" s="20"/>
    </row>
    <row r="1119" spans="1:16">
      <c r="A1119" s="14" t="s">
        <v>31</v>
      </c>
      <c r="D1119" s="18">
        <v>20</v>
      </c>
      <c r="E1119" s="26" t="str">
        <f t="shared" si="207"/>
        <v>-</v>
      </c>
      <c r="F1119" s="311"/>
      <c r="G1119" s="307" t="str">
        <f t="shared" si="208"/>
        <v>-</v>
      </c>
      <c r="H1119" s="352">
        <f t="shared" si="209"/>
        <v>0</v>
      </c>
      <c r="I1119" s="537" t="str">
        <f t="shared" si="210"/>
        <v>-</v>
      </c>
      <c r="J1119" s="541">
        <f t="shared" si="211"/>
        <v>0</v>
      </c>
      <c r="K1119" s="539" t="s">
        <v>2299</v>
      </c>
      <c r="L1119" s="20"/>
    </row>
    <row r="1120" spans="1:16">
      <c r="A1120" s="14">
        <f>A1087+1</f>
        <v>24</v>
      </c>
      <c r="B1120" s="14" t="str">
        <f>"MA" &amp; TEXT(A1120,"##000")</f>
        <v>MA024</v>
      </c>
      <c r="D1120" s="18"/>
      <c r="E1120" s="591" t="s">
        <v>2302</v>
      </c>
      <c r="F1120" s="592"/>
      <c r="G1120" s="592"/>
      <c r="H1120" s="592"/>
      <c r="I1120" s="327"/>
      <c r="J1120" s="353">
        <f>SUM(J1100:J1119)</f>
        <v>5.0145</v>
      </c>
      <c r="K1120" s="365" t="str">
        <f>+F1097</f>
        <v>m2</v>
      </c>
      <c r="L1120" s="20"/>
      <c r="O1120" s="27" t="s">
        <v>1525</v>
      </c>
      <c r="P1120" s="110">
        <v>40</v>
      </c>
    </row>
    <row r="1121" spans="1:19">
      <c r="D1121" s="18"/>
      <c r="E1121" s="593" t="s">
        <v>100</v>
      </c>
      <c r="F1121" s="594"/>
      <c r="G1121" s="594"/>
      <c r="H1121" s="594"/>
      <c r="I1121" s="594"/>
      <c r="J1121" s="595"/>
      <c r="K1121" s="347"/>
      <c r="L1121" s="20"/>
      <c r="O1121" s="27" t="s">
        <v>1524</v>
      </c>
      <c r="P1121" s="110">
        <v>0</v>
      </c>
    </row>
    <row r="1122" spans="1:19">
      <c r="A1122" s="14" t="s">
        <v>84</v>
      </c>
      <c r="D1122" s="18">
        <v>1</v>
      </c>
      <c r="E1122" s="26" t="str">
        <f>VLOOKUP($A1122,MATMO,2,FALSE)</f>
        <v>Oficial</v>
      </c>
      <c r="F1122" s="311">
        <v>0.6</v>
      </c>
      <c r="G1122" s="307" t="str">
        <f>VLOOKUP($A1122,MATMO,3,FALSE)</f>
        <v>hs</v>
      </c>
      <c r="H1122" s="110">
        <f>VLOOKUP($A1122,MATMO,4,FALSE)*$Q$7</f>
        <v>55.38</v>
      </c>
      <c r="I1122" s="354" t="str">
        <f t="shared" ref="I1122:I1126" si="212">+G1122</f>
        <v>hs</v>
      </c>
      <c r="J1122" s="350">
        <f t="shared" ref="J1122:J1126" si="213">+H1122*F1122</f>
        <v>33.228000000000002</v>
      </c>
      <c r="K1122" s="360" t="s">
        <v>2299</v>
      </c>
      <c r="L1122" s="20"/>
      <c r="M1122" s="14" t="s">
        <v>2006</v>
      </c>
      <c r="O1122" s="27" t="s">
        <v>1526</v>
      </c>
      <c r="P1122" s="110">
        <v>0</v>
      </c>
    </row>
    <row r="1123" spans="1:19">
      <c r="A1123" s="14" t="s">
        <v>85</v>
      </c>
      <c r="D1123" s="18">
        <v>2</v>
      </c>
      <c r="E1123" s="26" t="str">
        <f>VLOOKUP($A1123,MATMO,2,FALSE)</f>
        <v>Ayudante</v>
      </c>
      <c r="F1123" s="311">
        <v>0.13</v>
      </c>
      <c r="G1123" s="307" t="str">
        <f>VLOOKUP($A1123,MATMO,3,FALSE)</f>
        <v>hs</v>
      </c>
      <c r="H1123" s="110">
        <f>VLOOKUP($A1123,MATMO,4,FALSE)*$Q$7</f>
        <v>46.87</v>
      </c>
      <c r="I1123" s="354" t="str">
        <f t="shared" si="212"/>
        <v>hs</v>
      </c>
      <c r="J1123" s="350">
        <f t="shared" si="213"/>
        <v>6.0930999999999997</v>
      </c>
      <c r="K1123" s="360" t="s">
        <v>2299</v>
      </c>
      <c r="L1123" s="20"/>
      <c r="O1123" s="27" t="s">
        <v>1527</v>
      </c>
      <c r="P1123" s="110">
        <v>0</v>
      </c>
    </row>
    <row r="1124" spans="1:19">
      <c r="A1124" s="14" t="s">
        <v>2311</v>
      </c>
      <c r="D1124" s="18">
        <v>3</v>
      </c>
      <c r="E1124" s="26" t="str">
        <f>VLOOKUP($A1124,MATMO,2,FALSE)</f>
        <v>Cargas Sociales Oficial</v>
      </c>
      <c r="F1124" s="311">
        <f>+F1122</f>
        <v>0.6</v>
      </c>
      <c r="G1124" s="307" t="str">
        <f>VLOOKUP($A1124,MATMO,3,FALSE)</f>
        <v>hs</v>
      </c>
      <c r="H1124" s="110">
        <f>VLOOKUP($A1124,MATMO,4,FALSE)*$Q$7</f>
        <v>52.742782499999997</v>
      </c>
      <c r="I1124" s="354" t="str">
        <f t="shared" si="212"/>
        <v>hs</v>
      </c>
      <c r="J1124" s="350">
        <f t="shared" si="213"/>
        <v>31.645669499999997</v>
      </c>
      <c r="K1124" s="360" t="s">
        <v>2299</v>
      </c>
      <c r="L1124" s="20"/>
      <c r="O1124" s="27"/>
      <c r="P1124" s="110">
        <v>0</v>
      </c>
    </row>
    <row r="1125" spans="1:19">
      <c r="A1125" s="14" t="s">
        <v>2312</v>
      </c>
      <c r="D1125" s="18">
        <v>4</v>
      </c>
      <c r="E1125" s="26" t="str">
        <f>VLOOKUP($A1125,MATMO,2,FALSE)</f>
        <v>Cargas Sociales Ayudante</v>
      </c>
      <c r="F1125" s="311">
        <f>+F1123</f>
        <v>0.13</v>
      </c>
      <c r="G1125" s="307" t="str">
        <f>VLOOKUP($A1125,MATMO,3,FALSE)</f>
        <v>hs</v>
      </c>
      <c r="H1125" s="110">
        <f>VLOOKUP($A1125,MATMO,4,FALSE)*$Q$7</f>
        <v>45.108248750000001</v>
      </c>
      <c r="I1125" s="354" t="str">
        <f t="shared" si="212"/>
        <v>hs</v>
      </c>
      <c r="J1125" s="350">
        <f t="shared" si="213"/>
        <v>5.8640723375000006</v>
      </c>
      <c r="K1125" s="360" t="s">
        <v>2299</v>
      </c>
      <c r="L1125" s="20"/>
      <c r="O1125" s="27"/>
      <c r="P1125" s="110">
        <v>0</v>
      </c>
    </row>
    <row r="1126" spans="1:19" ht="16.5" thickBot="1">
      <c r="A1126" s="14" t="s">
        <v>83</v>
      </c>
      <c r="D1126" s="18">
        <v>5</v>
      </c>
      <c r="E1126" s="26" t="str">
        <f>VLOOKUP($A1126,MATMO,2,FALSE)</f>
        <v>-</v>
      </c>
      <c r="F1126" s="311"/>
      <c r="G1126" s="307" t="str">
        <f>VLOOKUP($A1126,MATMO,3,FALSE)</f>
        <v>-</v>
      </c>
      <c r="H1126" s="110">
        <f>VLOOKUP($A1126,MATMO,4,FALSE)*$Q$7</f>
        <v>0</v>
      </c>
      <c r="I1126" s="537" t="str">
        <f t="shared" si="212"/>
        <v>-</v>
      </c>
      <c r="J1126" s="538">
        <f t="shared" si="213"/>
        <v>0</v>
      </c>
      <c r="K1126" s="539" t="s">
        <v>2299</v>
      </c>
      <c r="L1126" s="20"/>
      <c r="O1126" s="27"/>
      <c r="P1126" s="110">
        <v>0</v>
      </c>
      <c r="R1126" s="29" t="s">
        <v>2307</v>
      </c>
    </row>
    <row r="1127" spans="1:19" ht="16.5" thickBot="1">
      <c r="A1127" s="14">
        <f>A1087+1</f>
        <v>24</v>
      </c>
      <c r="B1127" s="14" t="str">
        <f>"MO" &amp; TEXT(A1127,"##000")</f>
        <v>MO024</v>
      </c>
      <c r="D1127" s="18"/>
      <c r="E1127" s="591" t="s">
        <v>2301</v>
      </c>
      <c r="F1127" s="592"/>
      <c r="G1127" s="592"/>
      <c r="H1127" s="592"/>
      <c r="I1127" s="327"/>
      <c r="J1127" s="362">
        <f>SUM(J1122:J1126)</f>
        <v>76.830841837500003</v>
      </c>
      <c r="K1127" s="365" t="str">
        <f>+G1122</f>
        <v>hs</v>
      </c>
      <c r="L1127" s="20"/>
      <c r="N1127" s="111">
        <f>+P1127+R1127</f>
        <v>76</v>
      </c>
      <c r="O1127" s="27"/>
      <c r="P1127" s="27">
        <f>SUM(P1120:P1126)</f>
        <v>40</v>
      </c>
      <c r="Q1127" s="26">
        <v>0.9</v>
      </c>
      <c r="R1127" s="287">
        <f>+Q1127*P1127</f>
        <v>36</v>
      </c>
      <c r="S1127" s="288"/>
    </row>
    <row r="1128" spans="1:19">
      <c r="D1128" s="18"/>
      <c r="E1128" s="593" t="s">
        <v>101</v>
      </c>
      <c r="F1128" s="594"/>
      <c r="G1128" s="594"/>
      <c r="H1128" s="594"/>
      <c r="I1128" s="594"/>
      <c r="J1128" s="595"/>
      <c r="K1128" s="347"/>
      <c r="L1128" s="20"/>
      <c r="P1128" s="14" t="s">
        <v>2308</v>
      </c>
    </row>
    <row r="1129" spans="1:19">
      <c r="A1129" s="14" t="s">
        <v>119</v>
      </c>
      <c r="D1129" s="18">
        <v>1</v>
      </c>
      <c r="E1129" s="26" t="str">
        <f>VLOOKUP($A1129,MATMO,2,FALSE)</f>
        <v>Herramientas de Mano</v>
      </c>
      <c r="F1129" s="311">
        <v>1</v>
      </c>
      <c r="G1129" s="307" t="str">
        <f>VLOOKUP($A1129,MATMO,3,FALSE)</f>
        <v>gl</v>
      </c>
      <c r="H1129" s="110">
        <f>+(J1120+J1127)*$Q$5</f>
        <v>3.2738136735000003</v>
      </c>
      <c r="I1129" s="345" t="str">
        <f>+G1129</f>
        <v>gl</v>
      </c>
      <c r="J1129" s="350">
        <f t="shared" ref="J1129:J1133" si="214">+H1129*F1129</f>
        <v>3.2738136735000003</v>
      </c>
      <c r="K1129" s="360" t="s">
        <v>2299</v>
      </c>
      <c r="L1129" s="20"/>
      <c r="M1129" s="14" t="s">
        <v>2004</v>
      </c>
    </row>
    <row r="1130" spans="1:19">
      <c r="A1130" s="14" t="s">
        <v>121</v>
      </c>
      <c r="D1130" s="18">
        <v>2</v>
      </c>
      <c r="E1130" s="26" t="str">
        <f>VLOOKUP($A1130,MATMO,2,FALSE)</f>
        <v>Hormigonera</v>
      </c>
      <c r="F1130" s="311">
        <v>0.05</v>
      </c>
      <c r="G1130" s="307" t="str">
        <f>VLOOKUP($A1130,MATMO,3,FALSE)</f>
        <v>hs</v>
      </c>
      <c r="H1130" s="110">
        <f>VLOOKUP($A1130,MATMO,4,FALSE)*$Q$6</f>
        <v>301.3085399449036</v>
      </c>
      <c r="I1130" s="345" t="str">
        <f t="shared" ref="I1130:I1133" si="215">+G1130</f>
        <v>hs</v>
      </c>
      <c r="J1130" s="350">
        <f t="shared" si="214"/>
        <v>15.065426997245181</v>
      </c>
      <c r="K1130" s="360" t="s">
        <v>2299</v>
      </c>
      <c r="L1130" s="20"/>
    </row>
    <row r="1131" spans="1:19">
      <c r="A1131" s="14" t="s">
        <v>118</v>
      </c>
      <c r="D1131" s="18">
        <v>3</v>
      </c>
      <c r="E1131" s="26" t="str">
        <f>VLOOKUP($A1131,MATMO,2,FALSE)</f>
        <v>-</v>
      </c>
      <c r="F1131" s="311"/>
      <c r="G1131" s="307" t="str">
        <f>VLOOKUP($A1131,MATMO,3,FALSE)</f>
        <v>-</v>
      </c>
      <c r="H1131" s="110">
        <f>VLOOKUP($A1131,MATMO,4,FALSE)*$Q$6</f>
        <v>0</v>
      </c>
      <c r="I1131" s="543" t="str">
        <f t="shared" si="215"/>
        <v>-</v>
      </c>
      <c r="J1131" s="538">
        <f t="shared" si="214"/>
        <v>0</v>
      </c>
      <c r="K1131" s="539" t="s">
        <v>2299</v>
      </c>
      <c r="L1131" s="20"/>
    </row>
    <row r="1132" spans="1:19">
      <c r="A1132" s="14" t="s">
        <v>118</v>
      </c>
      <c r="D1132" s="18">
        <v>4</v>
      </c>
      <c r="E1132" s="26" t="str">
        <f>VLOOKUP($A1132,MATMO,2,FALSE)</f>
        <v>-</v>
      </c>
      <c r="F1132" s="311"/>
      <c r="G1132" s="307" t="str">
        <f>VLOOKUP($A1132,MATMO,3,FALSE)</f>
        <v>-</v>
      </c>
      <c r="H1132" s="110">
        <f>VLOOKUP($A1132,MATMO,4,FALSE)*$Q$6</f>
        <v>0</v>
      </c>
      <c r="I1132" s="543" t="str">
        <f t="shared" si="215"/>
        <v>-</v>
      </c>
      <c r="J1132" s="538">
        <f t="shared" si="214"/>
        <v>0</v>
      </c>
      <c r="K1132" s="539" t="s">
        <v>2299</v>
      </c>
      <c r="L1132" s="20"/>
    </row>
    <row r="1133" spans="1:19">
      <c r="A1133" s="14" t="s">
        <v>118</v>
      </c>
      <c r="D1133" s="18">
        <v>5</v>
      </c>
      <c r="E1133" s="26" t="str">
        <f>VLOOKUP($A1133,MATMO,2,FALSE)</f>
        <v>-</v>
      </c>
      <c r="F1133" s="311"/>
      <c r="G1133" s="307" t="str">
        <f>VLOOKUP($A1133,MATMO,3,FALSE)</f>
        <v>-</v>
      </c>
      <c r="H1133" s="110">
        <f>VLOOKUP($A1133,MATMO,4,FALSE)*$Q$6</f>
        <v>0</v>
      </c>
      <c r="I1133" s="543" t="str">
        <f t="shared" si="215"/>
        <v>-</v>
      </c>
      <c r="J1133" s="538">
        <f t="shared" si="214"/>
        <v>0</v>
      </c>
      <c r="K1133" s="539" t="s">
        <v>2299</v>
      </c>
      <c r="L1133" s="20"/>
    </row>
    <row r="1134" spans="1:19">
      <c r="A1134" s="14">
        <f>A1087+1</f>
        <v>24</v>
      </c>
      <c r="B1134" s="14" t="str">
        <f>"E" &amp; TEXT(A1134,"##000")</f>
        <v>E024</v>
      </c>
      <c r="D1134" s="18"/>
      <c r="E1134" s="591" t="s">
        <v>2300</v>
      </c>
      <c r="F1134" s="592"/>
      <c r="G1134" s="592"/>
      <c r="H1134" s="592"/>
      <c r="I1134" s="327"/>
      <c r="J1134" s="362">
        <f>SUM(J1129:J1133)</f>
        <v>18.33924067074518</v>
      </c>
      <c r="K1134" s="365" t="s">
        <v>116</v>
      </c>
      <c r="L1134" s="20"/>
    </row>
    <row r="1135" spans="1:19">
      <c r="D1135" s="18"/>
      <c r="E1135" s="596"/>
      <c r="F1135" s="597"/>
      <c r="G1135" s="597"/>
      <c r="H1135" s="597"/>
      <c r="I1135" s="597"/>
      <c r="J1135" s="598"/>
      <c r="K1135" s="348"/>
      <c r="L1135" s="20"/>
    </row>
    <row r="1136" spans="1:19">
      <c r="D1136" s="18"/>
      <c r="E1136" s="591" t="s">
        <v>2306</v>
      </c>
      <c r="F1136" s="592"/>
      <c r="G1136" s="592"/>
      <c r="H1136" s="592"/>
      <c r="I1136" s="327"/>
      <c r="J1136" s="308">
        <f>+J1134+J1127+J1120</f>
        <v>100.18458250824519</v>
      </c>
      <c r="K1136" s="365" t="str">
        <f>+F1097</f>
        <v>m2</v>
      </c>
      <c r="L1136" s="20"/>
    </row>
    <row r="1137" spans="1:13">
      <c r="D1137" s="18"/>
      <c r="E1137" s="591" t="s">
        <v>2305</v>
      </c>
      <c r="F1137" s="592"/>
      <c r="G1137" s="592"/>
      <c r="H1137" s="592"/>
      <c r="I1137" s="406">
        <f>+$Q$9</f>
        <v>1.6902999999999999</v>
      </c>
      <c r="J1137" s="308">
        <f>+$Q$9*J1136</f>
        <v>169.34199981368684</v>
      </c>
      <c r="K1137" s="365" t="str">
        <f>+F1097</f>
        <v>m2</v>
      </c>
      <c r="L1137" s="20"/>
    </row>
    <row r="1138" spans="1:13">
      <c r="A1138" s="14">
        <f>A1091+1</f>
        <v>24</v>
      </c>
      <c r="B1138" s="14" t="str">
        <f>"TR" &amp; TEXT(A1138,"##000")</f>
        <v>TR024</v>
      </c>
      <c r="C1138" s="14">
        <f>+C1091+1</f>
        <v>24</v>
      </c>
      <c r="D1138" s="18"/>
      <c r="E1138" s="591" t="s">
        <v>2304</v>
      </c>
      <c r="F1138" s="592"/>
      <c r="G1138" s="592"/>
      <c r="H1138" s="592"/>
      <c r="I1138" s="327"/>
      <c r="J1138" s="308">
        <f>+J1137</f>
        <v>169.34199981368684</v>
      </c>
      <c r="K1138" s="365" t="str">
        <f>+F1097</f>
        <v>m2</v>
      </c>
      <c r="L1138" s="20"/>
    </row>
    <row r="1139" spans="1:13" ht="16.5" thickBot="1">
      <c r="D1139" s="21"/>
      <c r="E1139" s="30"/>
      <c r="F1139" s="30"/>
      <c r="G1139" s="30"/>
      <c r="H1139" s="30"/>
      <c r="I1139" s="30"/>
      <c r="J1139" s="30"/>
      <c r="K1139" s="349"/>
      <c r="L1139" s="22"/>
    </row>
    <row r="1140" spans="1:13" ht="16.5" thickTop="1">
      <c r="D1140" s="15"/>
      <c r="E1140" s="16"/>
      <c r="F1140" s="16"/>
      <c r="G1140" s="16"/>
      <c r="H1140" s="16"/>
      <c r="I1140" s="16"/>
      <c r="J1140" s="16"/>
      <c r="K1140" s="16"/>
      <c r="L1140" s="17"/>
    </row>
    <row r="1141" spans="1:13">
      <c r="A1141" s="14" t="s">
        <v>1840</v>
      </c>
      <c r="D1141" s="18"/>
      <c r="E1141" s="23" t="s">
        <v>95</v>
      </c>
      <c r="F1141" s="24" t="str">
        <f>VLOOKUP($A1141,DATRUB,3,FALSE)</f>
        <v>RUBRO V:</v>
      </c>
      <c r="G1141" s="599" t="str">
        <f>VLOOKUP($A1141,DATRUB,4,FALSE)</f>
        <v>REVOQUES</v>
      </c>
      <c r="H1141" s="599"/>
      <c r="I1141" s="599"/>
      <c r="J1141" s="599"/>
      <c r="K1141" s="599"/>
      <c r="L1141" s="20"/>
    </row>
    <row r="1142" spans="1:13" ht="35.1" customHeight="1">
      <c r="A1142" s="14" t="s">
        <v>1843</v>
      </c>
      <c r="D1142" s="18"/>
      <c r="E1142" s="23" t="s">
        <v>96</v>
      </c>
      <c r="F1142" s="399">
        <f>VLOOKUP($A1142,DATRUB,3,FALSE)</f>
        <v>5.3</v>
      </c>
      <c r="G1142" s="599" t="str">
        <f>VLOOKUP($A1142,DATRUB,4,FALSE)</f>
        <v>Grueso Interior bajo revestimiento</v>
      </c>
      <c r="H1142" s="599"/>
      <c r="I1142" s="599"/>
      <c r="J1142" s="599"/>
      <c r="K1142" s="599"/>
      <c r="L1142" s="20"/>
    </row>
    <row r="1143" spans="1:13" ht="35.1" customHeight="1">
      <c r="A1143" s="14" t="s">
        <v>1843</v>
      </c>
      <c r="D1143" s="18"/>
      <c r="E1143" s="23" t="s">
        <v>97</v>
      </c>
      <c r="F1143" s="399">
        <f>VLOOKUP($A1143,DATRUB,3,FALSE)</f>
        <v>5.3</v>
      </c>
      <c r="G1143" s="599" t="str">
        <f>VLOOKUP($A1143,DATRUB,4,FALSE)</f>
        <v>Grueso Interior bajo revestimiento</v>
      </c>
      <c r="H1143" s="599"/>
      <c r="I1143" s="599"/>
      <c r="J1143" s="599"/>
      <c r="K1143" s="599"/>
      <c r="L1143" s="20"/>
    </row>
    <row r="1144" spans="1:13">
      <c r="D1144" s="18"/>
      <c r="E1144" s="23" t="s">
        <v>98</v>
      </c>
      <c r="F1144" s="24" t="str">
        <f>VLOOKUP($A1143,DATRUB,5,FALSE)</f>
        <v>m2</v>
      </c>
      <c r="G1144" s="600"/>
      <c r="H1144" s="600"/>
      <c r="I1144" s="600"/>
      <c r="J1144" s="600"/>
      <c r="K1144" s="600"/>
      <c r="L1144" s="20"/>
    </row>
    <row r="1145" spans="1:13">
      <c r="D1145" s="18"/>
      <c r="E1145" s="24" t="s">
        <v>1158</v>
      </c>
      <c r="F1145" s="25" t="s">
        <v>1250</v>
      </c>
      <c r="G1145" s="24" t="s">
        <v>24</v>
      </c>
      <c r="H1145" s="24" t="s">
        <v>25</v>
      </c>
      <c r="I1145" s="24" t="s">
        <v>24</v>
      </c>
      <c r="J1145" s="24" t="s">
        <v>2298</v>
      </c>
      <c r="K1145" s="24" t="s">
        <v>24</v>
      </c>
      <c r="L1145" s="20"/>
    </row>
    <row r="1146" spans="1:13">
      <c r="D1146" s="18"/>
      <c r="E1146" s="593" t="s">
        <v>99</v>
      </c>
      <c r="F1146" s="594"/>
      <c r="G1146" s="594"/>
      <c r="H1146" s="594"/>
      <c r="I1146" s="594"/>
      <c r="J1146" s="594"/>
      <c r="K1146" s="595"/>
      <c r="L1146" s="20"/>
    </row>
    <row r="1147" spans="1:13">
      <c r="A1147" s="14" t="s">
        <v>2375</v>
      </c>
      <c r="D1147" s="18">
        <v>1</v>
      </c>
      <c r="E1147" s="355" t="str">
        <f t="shared" ref="E1147:E1166" si="216">VLOOKUP($A1147,MATMO,2,FALSE)</f>
        <v>Cemento de Albañilería</v>
      </c>
      <c r="F1147" s="400">
        <v>8.5</v>
      </c>
      <c r="G1147" s="357" t="str">
        <f t="shared" ref="G1147:G1166" si="217">VLOOKUP($A1147,MATMO,3,FALSE)</f>
        <v>kg</v>
      </c>
      <c r="H1147" s="358">
        <f t="shared" ref="H1147:H1166" si="218">VLOOKUP($A1147,MATMO,4,FALSE)*$Q$6</f>
        <v>1.5645</v>
      </c>
      <c r="I1147" s="359" t="str">
        <f t="shared" ref="I1147:I1166" si="219">+G1147</f>
        <v>kg</v>
      </c>
      <c r="J1147" s="361">
        <f>+H1147*F1147</f>
        <v>13.298249999999999</v>
      </c>
      <c r="K1147" s="360" t="s">
        <v>2299</v>
      </c>
      <c r="L1147" s="20"/>
      <c r="M1147" s="14" t="s">
        <v>2005</v>
      </c>
    </row>
    <row r="1148" spans="1:13">
      <c r="A1148" s="14" t="s">
        <v>2366</v>
      </c>
      <c r="D1148" s="18">
        <v>2</v>
      </c>
      <c r="E1148" s="26" t="str">
        <f t="shared" si="216"/>
        <v>Arena</v>
      </c>
      <c r="F1148" s="400">
        <v>0.03</v>
      </c>
      <c r="G1148" s="307" t="str">
        <f t="shared" si="217"/>
        <v>m³</v>
      </c>
      <c r="H1148" s="351">
        <f t="shared" si="218"/>
        <v>170</v>
      </c>
      <c r="I1148" s="354" t="str">
        <f t="shared" si="219"/>
        <v>m³</v>
      </c>
      <c r="J1148" s="350">
        <f t="shared" ref="J1148:J1166" si="220">+H1148*F1148</f>
        <v>5.0999999999999996</v>
      </c>
      <c r="K1148" s="360" t="s">
        <v>2299</v>
      </c>
      <c r="L1148" s="20"/>
    </row>
    <row r="1149" spans="1:13">
      <c r="A1149" s="14" t="s">
        <v>2365</v>
      </c>
      <c r="D1149" s="18">
        <v>3</v>
      </c>
      <c r="E1149" s="26" t="str">
        <f t="shared" si="216"/>
        <v>Cemento Puzolanico</v>
      </c>
      <c r="F1149" s="400">
        <v>1.3</v>
      </c>
      <c r="G1149" s="307" t="str">
        <f t="shared" si="217"/>
        <v>kg</v>
      </c>
      <c r="H1149" s="351">
        <f t="shared" si="218"/>
        <v>2.0474999999999999</v>
      </c>
      <c r="I1149" s="354" t="str">
        <f t="shared" si="219"/>
        <v>kg</v>
      </c>
      <c r="J1149" s="350">
        <f t="shared" si="220"/>
        <v>2.6617500000000001</v>
      </c>
      <c r="K1149" s="360" t="s">
        <v>2299</v>
      </c>
      <c r="L1149" s="20"/>
    </row>
    <row r="1150" spans="1:13">
      <c r="A1150" s="14" t="s">
        <v>2377</v>
      </c>
      <c r="D1150" s="18">
        <v>4</v>
      </c>
      <c r="E1150" s="26" t="str">
        <f t="shared" si="216"/>
        <v>Hidrófugo</v>
      </c>
      <c r="F1150" s="400">
        <v>0.35</v>
      </c>
      <c r="G1150" s="307" t="str">
        <f t="shared" si="217"/>
        <v>lts</v>
      </c>
      <c r="H1150" s="351">
        <f t="shared" si="218"/>
        <v>9.5</v>
      </c>
      <c r="I1150" s="354" t="str">
        <f t="shared" si="219"/>
        <v>lts</v>
      </c>
      <c r="J1150" s="350">
        <f t="shared" si="220"/>
        <v>3.3249999999999997</v>
      </c>
      <c r="K1150" s="360" t="s">
        <v>2299</v>
      </c>
      <c r="L1150" s="20"/>
    </row>
    <row r="1151" spans="1:13">
      <c r="A1151" s="14" t="s">
        <v>31</v>
      </c>
      <c r="D1151" s="18">
        <v>5</v>
      </c>
      <c r="E1151" s="26" t="str">
        <f t="shared" si="216"/>
        <v>-</v>
      </c>
      <c r="F1151" s="311"/>
      <c r="G1151" s="307" t="str">
        <f t="shared" si="217"/>
        <v>-</v>
      </c>
      <c r="H1151" s="351">
        <f t="shared" si="218"/>
        <v>0</v>
      </c>
      <c r="I1151" s="537" t="str">
        <f t="shared" si="219"/>
        <v>-</v>
      </c>
      <c r="J1151" s="538">
        <f t="shared" si="220"/>
        <v>0</v>
      </c>
      <c r="K1151" s="539" t="s">
        <v>2299</v>
      </c>
      <c r="L1151" s="20"/>
    </row>
    <row r="1152" spans="1:13">
      <c r="A1152" s="14" t="s">
        <v>31</v>
      </c>
      <c r="D1152" s="18">
        <v>6</v>
      </c>
      <c r="E1152" s="26" t="str">
        <f t="shared" si="216"/>
        <v>-</v>
      </c>
      <c r="F1152" s="311"/>
      <c r="G1152" s="307" t="str">
        <f t="shared" si="217"/>
        <v>-</v>
      </c>
      <c r="H1152" s="351">
        <f t="shared" si="218"/>
        <v>0</v>
      </c>
      <c r="I1152" s="537" t="str">
        <f t="shared" si="219"/>
        <v>-</v>
      </c>
      <c r="J1152" s="538">
        <f t="shared" si="220"/>
        <v>0</v>
      </c>
      <c r="K1152" s="539" t="s">
        <v>2299</v>
      </c>
      <c r="L1152" s="20"/>
    </row>
    <row r="1153" spans="1:16">
      <c r="A1153" s="14" t="s">
        <v>31</v>
      </c>
      <c r="D1153" s="18">
        <v>7</v>
      </c>
      <c r="E1153" s="26" t="str">
        <f t="shared" si="216"/>
        <v>-</v>
      </c>
      <c r="F1153" s="311"/>
      <c r="G1153" s="307" t="str">
        <f t="shared" si="217"/>
        <v>-</v>
      </c>
      <c r="H1153" s="351">
        <f t="shared" si="218"/>
        <v>0</v>
      </c>
      <c r="I1153" s="537" t="str">
        <f t="shared" si="219"/>
        <v>-</v>
      </c>
      <c r="J1153" s="538">
        <f t="shared" si="220"/>
        <v>0</v>
      </c>
      <c r="K1153" s="539" t="s">
        <v>2299</v>
      </c>
      <c r="L1153" s="20"/>
    </row>
    <row r="1154" spans="1:16">
      <c r="A1154" s="14" t="s">
        <v>31</v>
      </c>
      <c r="D1154" s="18">
        <v>8</v>
      </c>
      <c r="E1154" s="26" t="str">
        <f t="shared" si="216"/>
        <v>-</v>
      </c>
      <c r="F1154" s="311"/>
      <c r="G1154" s="307" t="str">
        <f t="shared" si="217"/>
        <v>-</v>
      </c>
      <c r="H1154" s="351">
        <f t="shared" si="218"/>
        <v>0</v>
      </c>
      <c r="I1154" s="537" t="str">
        <f t="shared" si="219"/>
        <v>-</v>
      </c>
      <c r="J1154" s="538">
        <f t="shared" si="220"/>
        <v>0</v>
      </c>
      <c r="K1154" s="539" t="s">
        <v>2299</v>
      </c>
      <c r="L1154" s="20"/>
    </row>
    <row r="1155" spans="1:16">
      <c r="A1155" s="14" t="s">
        <v>31</v>
      </c>
      <c r="D1155" s="18">
        <v>9</v>
      </c>
      <c r="E1155" s="26" t="str">
        <f t="shared" si="216"/>
        <v>-</v>
      </c>
      <c r="F1155" s="311"/>
      <c r="G1155" s="307" t="str">
        <f t="shared" si="217"/>
        <v>-</v>
      </c>
      <c r="H1155" s="351">
        <f t="shared" si="218"/>
        <v>0</v>
      </c>
      <c r="I1155" s="537" t="str">
        <f t="shared" si="219"/>
        <v>-</v>
      </c>
      <c r="J1155" s="538">
        <f t="shared" si="220"/>
        <v>0</v>
      </c>
      <c r="K1155" s="539" t="s">
        <v>2299</v>
      </c>
      <c r="L1155" s="20"/>
    </row>
    <row r="1156" spans="1:16">
      <c r="A1156" s="14" t="s">
        <v>31</v>
      </c>
      <c r="D1156" s="18">
        <v>10</v>
      </c>
      <c r="E1156" s="26" t="str">
        <f t="shared" si="216"/>
        <v>-</v>
      </c>
      <c r="F1156" s="311"/>
      <c r="G1156" s="307" t="str">
        <f t="shared" si="217"/>
        <v>-</v>
      </c>
      <c r="H1156" s="351">
        <f t="shared" si="218"/>
        <v>0</v>
      </c>
      <c r="I1156" s="537" t="str">
        <f t="shared" si="219"/>
        <v>-</v>
      </c>
      <c r="J1156" s="538">
        <f t="shared" si="220"/>
        <v>0</v>
      </c>
      <c r="K1156" s="539" t="s">
        <v>2299</v>
      </c>
      <c r="L1156" s="20"/>
    </row>
    <row r="1157" spans="1:16">
      <c r="A1157" s="14" t="s">
        <v>31</v>
      </c>
      <c r="D1157" s="18">
        <v>11</v>
      </c>
      <c r="E1157" s="26" t="str">
        <f t="shared" si="216"/>
        <v>-</v>
      </c>
      <c r="F1157" s="311"/>
      <c r="G1157" s="307" t="str">
        <f t="shared" si="217"/>
        <v>-</v>
      </c>
      <c r="H1157" s="351">
        <f t="shared" si="218"/>
        <v>0</v>
      </c>
      <c r="I1157" s="537" t="str">
        <f t="shared" si="219"/>
        <v>-</v>
      </c>
      <c r="J1157" s="538">
        <f t="shared" si="220"/>
        <v>0</v>
      </c>
      <c r="K1157" s="539" t="s">
        <v>2299</v>
      </c>
      <c r="L1157" s="20"/>
    </row>
    <row r="1158" spans="1:16">
      <c r="A1158" s="14" t="s">
        <v>31</v>
      </c>
      <c r="D1158" s="18">
        <v>12</v>
      </c>
      <c r="E1158" s="26" t="str">
        <f t="shared" si="216"/>
        <v>-</v>
      </c>
      <c r="F1158" s="311"/>
      <c r="G1158" s="307" t="str">
        <f t="shared" si="217"/>
        <v>-</v>
      </c>
      <c r="H1158" s="352">
        <f t="shared" si="218"/>
        <v>0</v>
      </c>
      <c r="I1158" s="537" t="str">
        <f t="shared" si="219"/>
        <v>-</v>
      </c>
      <c r="J1158" s="538">
        <f t="shared" si="220"/>
        <v>0</v>
      </c>
      <c r="K1158" s="539" t="s">
        <v>2299</v>
      </c>
      <c r="L1158" s="20"/>
    </row>
    <row r="1159" spans="1:16">
      <c r="A1159" s="14" t="s">
        <v>31</v>
      </c>
      <c r="D1159" s="18">
        <v>13</v>
      </c>
      <c r="E1159" s="26" t="str">
        <f t="shared" si="216"/>
        <v>-</v>
      </c>
      <c r="F1159" s="311"/>
      <c r="G1159" s="307" t="str">
        <f t="shared" si="217"/>
        <v>-</v>
      </c>
      <c r="H1159" s="352">
        <f t="shared" si="218"/>
        <v>0</v>
      </c>
      <c r="I1159" s="537" t="str">
        <f t="shared" si="219"/>
        <v>-</v>
      </c>
      <c r="J1159" s="538">
        <f t="shared" si="220"/>
        <v>0</v>
      </c>
      <c r="K1159" s="539" t="s">
        <v>2299</v>
      </c>
      <c r="L1159" s="20"/>
    </row>
    <row r="1160" spans="1:16">
      <c r="A1160" s="14" t="s">
        <v>31</v>
      </c>
      <c r="D1160" s="18">
        <v>14</v>
      </c>
      <c r="E1160" s="26" t="str">
        <f t="shared" si="216"/>
        <v>-</v>
      </c>
      <c r="F1160" s="311"/>
      <c r="G1160" s="307" t="str">
        <f t="shared" si="217"/>
        <v>-</v>
      </c>
      <c r="H1160" s="352">
        <f t="shared" si="218"/>
        <v>0</v>
      </c>
      <c r="I1160" s="537" t="str">
        <f t="shared" si="219"/>
        <v>-</v>
      </c>
      <c r="J1160" s="538">
        <f t="shared" si="220"/>
        <v>0</v>
      </c>
      <c r="K1160" s="539" t="s">
        <v>2299</v>
      </c>
      <c r="L1160" s="20"/>
    </row>
    <row r="1161" spans="1:16">
      <c r="A1161" s="14" t="s">
        <v>31</v>
      </c>
      <c r="D1161" s="18">
        <v>15</v>
      </c>
      <c r="E1161" s="26" t="str">
        <f t="shared" si="216"/>
        <v>-</v>
      </c>
      <c r="F1161" s="311"/>
      <c r="G1161" s="307" t="str">
        <f t="shared" si="217"/>
        <v>-</v>
      </c>
      <c r="H1161" s="352">
        <f t="shared" si="218"/>
        <v>0</v>
      </c>
      <c r="I1161" s="537" t="str">
        <f t="shared" si="219"/>
        <v>-</v>
      </c>
      <c r="J1161" s="538">
        <f t="shared" si="220"/>
        <v>0</v>
      </c>
      <c r="K1161" s="539" t="s">
        <v>2299</v>
      </c>
      <c r="L1161" s="20"/>
    </row>
    <row r="1162" spans="1:16">
      <c r="A1162" s="14" t="s">
        <v>31</v>
      </c>
      <c r="D1162" s="18">
        <v>16</v>
      </c>
      <c r="E1162" s="26" t="str">
        <f t="shared" si="216"/>
        <v>-</v>
      </c>
      <c r="F1162" s="311"/>
      <c r="G1162" s="307" t="str">
        <f t="shared" si="217"/>
        <v>-</v>
      </c>
      <c r="H1162" s="352">
        <f t="shared" si="218"/>
        <v>0</v>
      </c>
      <c r="I1162" s="537" t="str">
        <f t="shared" si="219"/>
        <v>-</v>
      </c>
      <c r="J1162" s="538">
        <f t="shared" si="220"/>
        <v>0</v>
      </c>
      <c r="K1162" s="539" t="s">
        <v>2299</v>
      </c>
      <c r="L1162" s="20"/>
    </row>
    <row r="1163" spans="1:16">
      <c r="A1163" s="14" t="s">
        <v>31</v>
      </c>
      <c r="D1163" s="18">
        <v>17</v>
      </c>
      <c r="E1163" s="26" t="str">
        <f t="shared" si="216"/>
        <v>-</v>
      </c>
      <c r="F1163" s="311"/>
      <c r="G1163" s="307" t="str">
        <f t="shared" si="217"/>
        <v>-</v>
      </c>
      <c r="H1163" s="352">
        <f t="shared" si="218"/>
        <v>0</v>
      </c>
      <c r="I1163" s="537" t="str">
        <f t="shared" si="219"/>
        <v>-</v>
      </c>
      <c r="J1163" s="538">
        <f t="shared" si="220"/>
        <v>0</v>
      </c>
      <c r="K1163" s="539" t="s">
        <v>2299</v>
      </c>
      <c r="L1163" s="20"/>
    </row>
    <row r="1164" spans="1:16">
      <c r="A1164" s="14" t="s">
        <v>31</v>
      </c>
      <c r="D1164" s="18">
        <v>18</v>
      </c>
      <c r="E1164" s="26" t="str">
        <f t="shared" si="216"/>
        <v>-</v>
      </c>
      <c r="F1164" s="311"/>
      <c r="G1164" s="307" t="str">
        <f t="shared" si="217"/>
        <v>-</v>
      </c>
      <c r="H1164" s="352">
        <f t="shared" si="218"/>
        <v>0</v>
      </c>
      <c r="I1164" s="537" t="str">
        <f t="shared" si="219"/>
        <v>-</v>
      </c>
      <c r="J1164" s="538">
        <f t="shared" si="220"/>
        <v>0</v>
      </c>
      <c r="K1164" s="539" t="s">
        <v>2299</v>
      </c>
      <c r="L1164" s="20"/>
    </row>
    <row r="1165" spans="1:16">
      <c r="A1165" s="14" t="s">
        <v>31</v>
      </c>
      <c r="D1165" s="18">
        <v>19</v>
      </c>
      <c r="E1165" s="26" t="str">
        <f t="shared" si="216"/>
        <v>-</v>
      </c>
      <c r="F1165" s="311"/>
      <c r="G1165" s="307" t="str">
        <f t="shared" si="217"/>
        <v>-</v>
      </c>
      <c r="H1165" s="352">
        <f t="shared" si="218"/>
        <v>0</v>
      </c>
      <c r="I1165" s="537" t="str">
        <f t="shared" si="219"/>
        <v>-</v>
      </c>
      <c r="J1165" s="538">
        <f t="shared" si="220"/>
        <v>0</v>
      </c>
      <c r="K1165" s="539" t="s">
        <v>2299</v>
      </c>
      <c r="L1165" s="20"/>
    </row>
    <row r="1166" spans="1:16">
      <c r="A1166" s="14" t="s">
        <v>31</v>
      </c>
      <c r="D1166" s="18">
        <v>20</v>
      </c>
      <c r="E1166" s="26" t="str">
        <f t="shared" si="216"/>
        <v>-</v>
      </c>
      <c r="F1166" s="311"/>
      <c r="G1166" s="307" t="str">
        <f t="shared" si="217"/>
        <v>-</v>
      </c>
      <c r="H1166" s="352">
        <f t="shared" si="218"/>
        <v>0</v>
      </c>
      <c r="I1166" s="537" t="str">
        <f t="shared" si="219"/>
        <v>-</v>
      </c>
      <c r="J1166" s="541">
        <f t="shared" si="220"/>
        <v>0</v>
      </c>
      <c r="K1166" s="539" t="s">
        <v>2299</v>
      </c>
      <c r="L1166" s="20"/>
    </row>
    <row r="1167" spans="1:16">
      <c r="A1167" s="14">
        <f>A1134+1</f>
        <v>25</v>
      </c>
      <c r="B1167" s="14" t="str">
        <f>"MA" &amp; TEXT(A1167,"##000")</f>
        <v>MA025</v>
      </c>
      <c r="D1167" s="18"/>
      <c r="E1167" s="591" t="s">
        <v>2302</v>
      </c>
      <c r="F1167" s="592"/>
      <c r="G1167" s="592"/>
      <c r="H1167" s="592"/>
      <c r="I1167" s="327"/>
      <c r="J1167" s="353">
        <f>SUM(J1147:J1166)</f>
        <v>24.384999999999998</v>
      </c>
      <c r="K1167" s="365" t="str">
        <f>+F1144</f>
        <v>m2</v>
      </c>
      <c r="L1167" s="20"/>
      <c r="O1167" s="27" t="s">
        <v>1525</v>
      </c>
      <c r="P1167" s="110">
        <v>50</v>
      </c>
    </row>
    <row r="1168" spans="1:16">
      <c r="D1168" s="18"/>
      <c r="E1168" s="593" t="s">
        <v>100</v>
      </c>
      <c r="F1168" s="594"/>
      <c r="G1168" s="594"/>
      <c r="H1168" s="594"/>
      <c r="I1168" s="594"/>
      <c r="J1168" s="595"/>
      <c r="K1168" s="347"/>
      <c r="L1168" s="20"/>
      <c r="O1168" s="27" t="s">
        <v>1524</v>
      </c>
      <c r="P1168" s="110">
        <v>0</v>
      </c>
    </row>
    <row r="1169" spans="1:19">
      <c r="A1169" s="14" t="s">
        <v>84</v>
      </c>
      <c r="D1169" s="18">
        <v>1</v>
      </c>
      <c r="E1169" s="26" t="str">
        <f>VLOOKUP($A1169,MATMO,2,FALSE)</f>
        <v>Oficial</v>
      </c>
      <c r="F1169" s="311">
        <v>0.8</v>
      </c>
      <c r="G1169" s="307" t="str">
        <f>VLOOKUP($A1169,MATMO,3,FALSE)</f>
        <v>hs</v>
      </c>
      <c r="H1169" s="110">
        <f>VLOOKUP($A1169,MATMO,4,FALSE)*$Q$7</f>
        <v>55.38</v>
      </c>
      <c r="I1169" s="354" t="str">
        <f t="shared" ref="I1169:I1173" si="221">+G1169</f>
        <v>hs</v>
      </c>
      <c r="J1169" s="350">
        <f t="shared" ref="J1169:J1173" si="222">+H1169*F1169</f>
        <v>44.304000000000002</v>
      </c>
      <c r="K1169" s="360" t="s">
        <v>2299</v>
      </c>
      <c r="L1169" s="20"/>
      <c r="M1169" s="14" t="s">
        <v>2006</v>
      </c>
      <c r="O1169" s="27" t="s">
        <v>1526</v>
      </c>
      <c r="P1169" s="110">
        <v>0</v>
      </c>
    </row>
    <row r="1170" spans="1:19">
      <c r="A1170" s="14" t="s">
        <v>85</v>
      </c>
      <c r="D1170" s="18">
        <v>2</v>
      </c>
      <c r="E1170" s="26" t="str">
        <f>VLOOKUP($A1170,MATMO,2,FALSE)</f>
        <v>Ayudante</v>
      </c>
      <c r="F1170" s="311">
        <v>0.1</v>
      </c>
      <c r="G1170" s="307" t="str">
        <f>VLOOKUP($A1170,MATMO,3,FALSE)</f>
        <v>hs</v>
      </c>
      <c r="H1170" s="110">
        <f>VLOOKUP($A1170,MATMO,4,FALSE)*$Q$7</f>
        <v>46.87</v>
      </c>
      <c r="I1170" s="354" t="str">
        <f t="shared" si="221"/>
        <v>hs</v>
      </c>
      <c r="J1170" s="350">
        <f t="shared" si="222"/>
        <v>4.6870000000000003</v>
      </c>
      <c r="K1170" s="360" t="s">
        <v>2299</v>
      </c>
      <c r="L1170" s="20"/>
      <c r="O1170" s="27" t="s">
        <v>1527</v>
      </c>
      <c r="P1170" s="110">
        <v>0</v>
      </c>
    </row>
    <row r="1171" spans="1:19">
      <c r="A1171" s="14" t="s">
        <v>2311</v>
      </c>
      <c r="D1171" s="18">
        <v>3</v>
      </c>
      <c r="E1171" s="26" t="str">
        <f>VLOOKUP($A1171,MATMO,2,FALSE)</f>
        <v>Cargas Sociales Oficial</v>
      </c>
      <c r="F1171" s="311">
        <f>+F1169</f>
        <v>0.8</v>
      </c>
      <c r="G1171" s="307" t="str">
        <f>VLOOKUP($A1171,MATMO,3,FALSE)</f>
        <v>hs</v>
      </c>
      <c r="H1171" s="110">
        <f>VLOOKUP($A1171,MATMO,4,FALSE)*$Q$7</f>
        <v>52.742782499999997</v>
      </c>
      <c r="I1171" s="354" t="str">
        <f t="shared" si="221"/>
        <v>hs</v>
      </c>
      <c r="J1171" s="350">
        <f t="shared" si="222"/>
        <v>42.194226</v>
      </c>
      <c r="K1171" s="360" t="s">
        <v>2299</v>
      </c>
      <c r="L1171" s="20"/>
      <c r="O1171" s="27"/>
      <c r="P1171" s="110">
        <v>0</v>
      </c>
    </row>
    <row r="1172" spans="1:19">
      <c r="A1172" s="14" t="s">
        <v>2312</v>
      </c>
      <c r="D1172" s="18">
        <v>4</v>
      </c>
      <c r="E1172" s="26" t="str">
        <f>VLOOKUP($A1172,MATMO,2,FALSE)</f>
        <v>Cargas Sociales Ayudante</v>
      </c>
      <c r="F1172" s="311">
        <f>+F1170</f>
        <v>0.1</v>
      </c>
      <c r="G1172" s="307" t="str">
        <f>VLOOKUP($A1172,MATMO,3,FALSE)</f>
        <v>hs</v>
      </c>
      <c r="H1172" s="110">
        <f>VLOOKUP($A1172,MATMO,4,FALSE)*$Q$7</f>
        <v>45.108248750000001</v>
      </c>
      <c r="I1172" s="354" t="str">
        <f t="shared" si="221"/>
        <v>hs</v>
      </c>
      <c r="J1172" s="350">
        <f t="shared" si="222"/>
        <v>4.510824875</v>
      </c>
      <c r="K1172" s="360" t="s">
        <v>2299</v>
      </c>
      <c r="L1172" s="20"/>
      <c r="O1172" s="27"/>
      <c r="P1172" s="110">
        <v>0</v>
      </c>
    </row>
    <row r="1173" spans="1:19" ht="16.5" thickBot="1">
      <c r="A1173" s="14" t="s">
        <v>83</v>
      </c>
      <c r="D1173" s="18">
        <v>5</v>
      </c>
      <c r="E1173" s="26" t="str">
        <f>VLOOKUP($A1173,MATMO,2,FALSE)</f>
        <v>-</v>
      </c>
      <c r="F1173" s="311"/>
      <c r="G1173" s="307" t="str">
        <f>VLOOKUP($A1173,MATMO,3,FALSE)</f>
        <v>-</v>
      </c>
      <c r="H1173" s="110">
        <f>VLOOKUP($A1173,MATMO,4,FALSE)*$Q$7</f>
        <v>0</v>
      </c>
      <c r="I1173" s="537" t="str">
        <f t="shared" si="221"/>
        <v>-</v>
      </c>
      <c r="J1173" s="538">
        <f t="shared" si="222"/>
        <v>0</v>
      </c>
      <c r="K1173" s="539" t="s">
        <v>2299</v>
      </c>
      <c r="L1173" s="20"/>
      <c r="O1173" s="27"/>
      <c r="P1173" s="110">
        <v>0</v>
      </c>
      <c r="R1173" s="29" t="s">
        <v>2307</v>
      </c>
    </row>
    <row r="1174" spans="1:19" ht="16.5" thickBot="1">
      <c r="A1174" s="14">
        <f>A1134+1</f>
        <v>25</v>
      </c>
      <c r="B1174" s="14" t="str">
        <f>"MO" &amp; TEXT(A1174,"##000")</f>
        <v>MO025</v>
      </c>
      <c r="D1174" s="18"/>
      <c r="E1174" s="591" t="s">
        <v>2301</v>
      </c>
      <c r="F1174" s="592"/>
      <c r="G1174" s="592"/>
      <c r="H1174" s="592"/>
      <c r="I1174" s="327"/>
      <c r="J1174" s="362">
        <f>SUM(J1169:J1173)</f>
        <v>95.696050874999997</v>
      </c>
      <c r="K1174" s="365" t="str">
        <f>+G1169</f>
        <v>hs</v>
      </c>
      <c r="L1174" s="20"/>
      <c r="N1174" s="111">
        <f>+P1174+R1174</f>
        <v>95</v>
      </c>
      <c r="O1174" s="27"/>
      <c r="P1174" s="27">
        <f>SUM(P1167:P1173)</f>
        <v>50</v>
      </c>
      <c r="Q1174" s="26">
        <v>0.9</v>
      </c>
      <c r="R1174" s="287">
        <f>+Q1174*P1174</f>
        <v>45</v>
      </c>
      <c r="S1174" s="288"/>
    </row>
    <row r="1175" spans="1:19">
      <c r="D1175" s="18"/>
      <c r="E1175" s="593" t="s">
        <v>101</v>
      </c>
      <c r="F1175" s="594"/>
      <c r="G1175" s="594"/>
      <c r="H1175" s="594"/>
      <c r="I1175" s="594"/>
      <c r="J1175" s="595"/>
      <c r="K1175" s="347"/>
      <c r="L1175" s="20"/>
      <c r="P1175" s="14" t="s">
        <v>2308</v>
      </c>
    </row>
    <row r="1176" spans="1:19">
      <c r="A1176" s="14" t="s">
        <v>119</v>
      </c>
      <c r="D1176" s="18">
        <v>1</v>
      </c>
      <c r="E1176" s="26" t="str">
        <f>VLOOKUP($A1176,MATMO,2,FALSE)</f>
        <v>Herramientas de Mano</v>
      </c>
      <c r="F1176" s="311">
        <v>1</v>
      </c>
      <c r="G1176" s="307" t="str">
        <f>VLOOKUP($A1176,MATMO,3,FALSE)</f>
        <v>gl</v>
      </c>
      <c r="H1176" s="110">
        <f>+(J1167+J1174)*$Q$5</f>
        <v>4.8032420349999994</v>
      </c>
      <c r="I1176" s="345" t="str">
        <f>+G1176</f>
        <v>gl</v>
      </c>
      <c r="J1176" s="350">
        <f t="shared" ref="J1176:J1180" si="223">+H1176*F1176</f>
        <v>4.8032420349999994</v>
      </c>
      <c r="K1176" s="360" t="s">
        <v>2299</v>
      </c>
      <c r="L1176" s="20"/>
      <c r="M1176" s="14" t="s">
        <v>2004</v>
      </c>
    </row>
    <row r="1177" spans="1:19">
      <c r="A1177" s="14" t="s">
        <v>121</v>
      </c>
      <c r="D1177" s="18">
        <v>2</v>
      </c>
      <c r="E1177" s="26" t="str">
        <f>VLOOKUP($A1177,MATMO,2,FALSE)</f>
        <v>Hormigonera</v>
      </c>
      <c r="F1177" s="311">
        <v>0.1</v>
      </c>
      <c r="G1177" s="307" t="str">
        <f>VLOOKUP($A1177,MATMO,3,FALSE)</f>
        <v>hs</v>
      </c>
      <c r="H1177" s="110">
        <f>VLOOKUP($A1177,MATMO,4,FALSE)*$Q$6</f>
        <v>301.3085399449036</v>
      </c>
      <c r="I1177" s="345" t="str">
        <f t="shared" ref="I1177:I1180" si="224">+G1177</f>
        <v>hs</v>
      </c>
      <c r="J1177" s="350">
        <f t="shared" si="223"/>
        <v>30.130853994490362</v>
      </c>
      <c r="K1177" s="360" t="s">
        <v>2299</v>
      </c>
      <c r="L1177" s="20"/>
    </row>
    <row r="1178" spans="1:19">
      <c r="A1178" s="14" t="s">
        <v>118</v>
      </c>
      <c r="D1178" s="18">
        <v>3</v>
      </c>
      <c r="E1178" s="26" t="str">
        <f>VLOOKUP($A1178,MATMO,2,FALSE)</f>
        <v>-</v>
      </c>
      <c r="F1178" s="311"/>
      <c r="G1178" s="307" t="str">
        <f>VLOOKUP($A1178,MATMO,3,FALSE)</f>
        <v>-</v>
      </c>
      <c r="H1178" s="110">
        <f>VLOOKUP($A1178,MATMO,4,FALSE)*$Q$6</f>
        <v>0</v>
      </c>
      <c r="I1178" s="543" t="str">
        <f t="shared" si="224"/>
        <v>-</v>
      </c>
      <c r="J1178" s="538">
        <f t="shared" si="223"/>
        <v>0</v>
      </c>
      <c r="K1178" s="539" t="s">
        <v>2299</v>
      </c>
      <c r="L1178" s="20"/>
    </row>
    <row r="1179" spans="1:19">
      <c r="A1179" s="14" t="s">
        <v>118</v>
      </c>
      <c r="D1179" s="18">
        <v>4</v>
      </c>
      <c r="E1179" s="26" t="str">
        <f>VLOOKUP($A1179,MATMO,2,FALSE)</f>
        <v>-</v>
      </c>
      <c r="F1179" s="311"/>
      <c r="G1179" s="307" t="str">
        <f>VLOOKUP($A1179,MATMO,3,FALSE)</f>
        <v>-</v>
      </c>
      <c r="H1179" s="110">
        <f>VLOOKUP($A1179,MATMO,4,FALSE)*$Q$6</f>
        <v>0</v>
      </c>
      <c r="I1179" s="543" t="str">
        <f t="shared" si="224"/>
        <v>-</v>
      </c>
      <c r="J1179" s="538">
        <f t="shared" si="223"/>
        <v>0</v>
      </c>
      <c r="K1179" s="539" t="s">
        <v>2299</v>
      </c>
      <c r="L1179" s="20"/>
    </row>
    <row r="1180" spans="1:19">
      <c r="A1180" s="14" t="s">
        <v>118</v>
      </c>
      <c r="D1180" s="18">
        <v>5</v>
      </c>
      <c r="E1180" s="26" t="str">
        <f>VLOOKUP($A1180,MATMO,2,FALSE)</f>
        <v>-</v>
      </c>
      <c r="F1180" s="311"/>
      <c r="G1180" s="307" t="str">
        <f>VLOOKUP($A1180,MATMO,3,FALSE)</f>
        <v>-</v>
      </c>
      <c r="H1180" s="110">
        <f>VLOOKUP($A1180,MATMO,4,FALSE)*$Q$6</f>
        <v>0</v>
      </c>
      <c r="I1180" s="543" t="str">
        <f t="shared" si="224"/>
        <v>-</v>
      </c>
      <c r="J1180" s="538">
        <f t="shared" si="223"/>
        <v>0</v>
      </c>
      <c r="K1180" s="539" t="s">
        <v>2299</v>
      </c>
      <c r="L1180" s="20"/>
    </row>
    <row r="1181" spans="1:19">
      <c r="A1181" s="14">
        <f>A1134+1</f>
        <v>25</v>
      </c>
      <c r="B1181" s="14" t="str">
        <f>"E" &amp; TEXT(A1181,"##000")</f>
        <v>E025</v>
      </c>
      <c r="D1181" s="18"/>
      <c r="E1181" s="591" t="s">
        <v>2300</v>
      </c>
      <c r="F1181" s="592"/>
      <c r="G1181" s="592"/>
      <c r="H1181" s="592"/>
      <c r="I1181" s="327"/>
      <c r="J1181" s="362">
        <f>SUM(J1176:J1180)</f>
        <v>34.934096029490362</v>
      </c>
      <c r="K1181" s="365" t="s">
        <v>116</v>
      </c>
      <c r="L1181" s="20"/>
    </row>
    <row r="1182" spans="1:19">
      <c r="D1182" s="18"/>
      <c r="E1182" s="596"/>
      <c r="F1182" s="597"/>
      <c r="G1182" s="597"/>
      <c r="H1182" s="597"/>
      <c r="I1182" s="597"/>
      <c r="J1182" s="598"/>
      <c r="K1182" s="348"/>
      <c r="L1182" s="20"/>
    </row>
    <row r="1183" spans="1:19">
      <c r="D1183" s="18"/>
      <c r="E1183" s="591" t="s">
        <v>2306</v>
      </c>
      <c r="F1183" s="592"/>
      <c r="G1183" s="592"/>
      <c r="H1183" s="592"/>
      <c r="I1183" s="327"/>
      <c r="J1183" s="308">
        <f>+J1181+J1174+J1167</f>
        <v>155.01514690449034</v>
      </c>
      <c r="K1183" s="365" t="str">
        <f>+F1144</f>
        <v>m2</v>
      </c>
      <c r="L1183" s="20"/>
    </row>
    <row r="1184" spans="1:19">
      <c r="D1184" s="18"/>
      <c r="E1184" s="591" t="s">
        <v>2305</v>
      </c>
      <c r="F1184" s="592"/>
      <c r="G1184" s="592"/>
      <c r="H1184" s="592"/>
      <c r="I1184" s="406">
        <f>+$Q$9</f>
        <v>1.6902999999999999</v>
      </c>
      <c r="J1184" s="308">
        <f>+$Q$9*J1183</f>
        <v>262.02210281266002</v>
      </c>
      <c r="K1184" s="365" t="str">
        <f>+F1144</f>
        <v>m2</v>
      </c>
      <c r="L1184" s="20"/>
    </row>
    <row r="1185" spans="1:13">
      <c r="A1185" s="14">
        <f>A1138+1</f>
        <v>25</v>
      </c>
      <c r="B1185" s="14" t="str">
        <f>"TR" &amp; TEXT(A1185,"##000")</f>
        <v>TR025</v>
      </c>
      <c r="C1185" s="14">
        <f>+C1138+1</f>
        <v>25</v>
      </c>
      <c r="D1185" s="18"/>
      <c r="E1185" s="591" t="s">
        <v>2304</v>
      </c>
      <c r="F1185" s="592"/>
      <c r="G1185" s="592"/>
      <c r="H1185" s="592"/>
      <c r="I1185" s="327"/>
      <c r="J1185" s="308">
        <f>+J1184</f>
        <v>262.02210281266002</v>
      </c>
      <c r="K1185" s="365" t="str">
        <f>+F1144</f>
        <v>m2</v>
      </c>
      <c r="L1185" s="20"/>
    </row>
    <row r="1186" spans="1:13" ht="16.5" thickBot="1">
      <c r="D1186" s="21"/>
      <c r="E1186" s="30"/>
      <c r="F1186" s="30"/>
      <c r="G1186" s="30"/>
      <c r="H1186" s="30"/>
      <c r="I1186" s="30"/>
      <c r="J1186" s="30"/>
      <c r="K1186" s="349"/>
      <c r="L1186" s="22"/>
    </row>
    <row r="1187" spans="1:13" ht="16.5" thickTop="1">
      <c r="D1187" s="15"/>
      <c r="E1187" s="16"/>
      <c r="F1187" s="16"/>
      <c r="G1187" s="16"/>
      <c r="H1187" s="16"/>
      <c r="I1187" s="16"/>
      <c r="J1187" s="16"/>
      <c r="K1187" s="16"/>
      <c r="L1187" s="17"/>
    </row>
    <row r="1188" spans="1:13">
      <c r="A1188" s="14" t="s">
        <v>1840</v>
      </c>
      <c r="D1188" s="18"/>
      <c r="E1188" s="23" t="s">
        <v>95</v>
      </c>
      <c r="F1188" s="24" t="str">
        <f>VLOOKUP($A1188,DATRUB,3,FALSE)</f>
        <v>RUBRO V:</v>
      </c>
      <c r="G1188" s="599" t="str">
        <f>VLOOKUP($A1188,DATRUB,4,FALSE)</f>
        <v>REVOQUES</v>
      </c>
      <c r="H1188" s="599"/>
      <c r="I1188" s="599"/>
      <c r="J1188" s="599"/>
      <c r="K1188" s="599"/>
      <c r="L1188" s="20"/>
    </row>
    <row r="1189" spans="1:13" ht="35.1" customHeight="1">
      <c r="A1189" s="14" t="s">
        <v>1844</v>
      </c>
      <c r="D1189" s="18"/>
      <c r="E1189" s="23" t="s">
        <v>96</v>
      </c>
      <c r="F1189" s="399">
        <f>VLOOKUP($A1189,DATRUB,3,FALSE)</f>
        <v>5.4</v>
      </c>
      <c r="G1189" s="599" t="str">
        <f>VLOOKUP($A1189,DATRUB,4,FALSE)</f>
        <v>Salpicado cementicio terminacion planchada con llana</v>
      </c>
      <c r="H1189" s="599"/>
      <c r="I1189" s="599"/>
      <c r="J1189" s="599"/>
      <c r="K1189" s="599"/>
      <c r="L1189" s="20"/>
    </row>
    <row r="1190" spans="1:13" ht="35.1" customHeight="1">
      <c r="A1190" s="14" t="s">
        <v>1844</v>
      </c>
      <c r="D1190" s="18"/>
      <c r="E1190" s="23" t="s">
        <v>97</v>
      </c>
      <c r="F1190" s="399">
        <f>VLOOKUP($A1190,DATRUB,3,FALSE)</f>
        <v>5.4</v>
      </c>
      <c r="G1190" s="599" t="str">
        <f>VLOOKUP($A1190,DATRUB,4,FALSE)</f>
        <v>Salpicado cementicio terminacion planchada con llana</v>
      </c>
      <c r="H1190" s="599"/>
      <c r="I1190" s="599"/>
      <c r="J1190" s="599"/>
      <c r="K1190" s="599"/>
      <c r="L1190" s="20"/>
    </row>
    <row r="1191" spans="1:13">
      <c r="D1191" s="18"/>
      <c r="E1191" s="23" t="s">
        <v>98</v>
      </c>
      <c r="F1191" s="24" t="str">
        <f>VLOOKUP($A1190,DATRUB,5,FALSE)</f>
        <v>m2</v>
      </c>
      <c r="G1191" s="600"/>
      <c r="H1191" s="600"/>
      <c r="I1191" s="600"/>
      <c r="J1191" s="600"/>
      <c r="K1191" s="600"/>
      <c r="L1191" s="20"/>
    </row>
    <row r="1192" spans="1:13">
      <c r="D1192" s="18"/>
      <c r="E1192" s="24" t="s">
        <v>1158</v>
      </c>
      <c r="F1192" s="25" t="s">
        <v>1250</v>
      </c>
      <c r="G1192" s="24" t="s">
        <v>24</v>
      </c>
      <c r="H1192" s="24" t="s">
        <v>25</v>
      </c>
      <c r="I1192" s="24" t="s">
        <v>24</v>
      </c>
      <c r="J1192" s="24" t="s">
        <v>2298</v>
      </c>
      <c r="K1192" s="24" t="s">
        <v>24</v>
      </c>
      <c r="L1192" s="20"/>
    </row>
    <row r="1193" spans="1:13">
      <c r="D1193" s="18"/>
      <c r="E1193" s="593" t="s">
        <v>99</v>
      </c>
      <c r="F1193" s="594"/>
      <c r="G1193" s="594"/>
      <c r="H1193" s="594"/>
      <c r="I1193" s="594"/>
      <c r="J1193" s="594"/>
      <c r="K1193" s="595"/>
      <c r="L1193" s="20"/>
    </row>
    <row r="1194" spans="1:13">
      <c r="A1194" s="14" t="s">
        <v>2508</v>
      </c>
      <c r="D1194" s="18">
        <v>1</v>
      </c>
      <c r="E1194" s="355" t="str">
        <f t="shared" ref="E1194:E1213" si="225">VLOOKUP($A1194,MATMO,2,FALSE)</f>
        <v>Revestimiento Cementicio</v>
      </c>
      <c r="F1194" s="311">
        <v>8</v>
      </c>
      <c r="G1194" s="357" t="str">
        <f t="shared" ref="G1194:G1213" si="226">VLOOKUP($A1194,MATMO,3,FALSE)</f>
        <v>kg</v>
      </c>
      <c r="H1194" s="358">
        <f t="shared" ref="H1194:H1213" si="227">VLOOKUP($A1194,MATMO,4,FALSE)*$Q$6</f>
        <v>6.1</v>
      </c>
      <c r="I1194" s="359" t="str">
        <f t="shared" ref="I1194:I1213" si="228">+G1194</f>
        <v>kg</v>
      </c>
      <c r="J1194" s="361">
        <f>+H1194*F1194</f>
        <v>48.8</v>
      </c>
      <c r="K1194" s="360" t="s">
        <v>2299</v>
      </c>
      <c r="L1194" s="20"/>
      <c r="M1194" s="14" t="s">
        <v>2005</v>
      </c>
    </row>
    <row r="1195" spans="1:13">
      <c r="A1195" s="14" t="s">
        <v>2509</v>
      </c>
      <c r="D1195" s="18">
        <v>2</v>
      </c>
      <c r="E1195" s="26" t="str">
        <f t="shared" si="225"/>
        <v>Latizador</v>
      </c>
      <c r="F1195" s="311">
        <v>0.04</v>
      </c>
      <c r="G1195" s="307" t="str">
        <f t="shared" si="226"/>
        <v>lts</v>
      </c>
      <c r="H1195" s="351">
        <f t="shared" si="227"/>
        <v>21</v>
      </c>
      <c r="I1195" s="354" t="str">
        <f t="shared" si="228"/>
        <v>lts</v>
      </c>
      <c r="J1195" s="350">
        <f t="shared" ref="J1195:J1213" si="229">+H1195*F1195</f>
        <v>0.84</v>
      </c>
      <c r="K1195" s="360" t="s">
        <v>2299</v>
      </c>
      <c r="L1195" s="20"/>
    </row>
    <row r="1196" spans="1:13">
      <c r="A1196" s="14" t="s">
        <v>2445</v>
      </c>
      <c r="D1196" s="18">
        <v>3</v>
      </c>
      <c r="E1196" s="26" t="str">
        <f t="shared" si="225"/>
        <v xml:space="preserve">Pintura Accesorios </v>
      </c>
      <c r="F1196" s="311">
        <v>1</v>
      </c>
      <c r="G1196" s="307" t="str">
        <f t="shared" si="226"/>
        <v>gl</v>
      </c>
      <c r="H1196" s="351">
        <f t="shared" si="227"/>
        <v>10</v>
      </c>
      <c r="I1196" s="354" t="str">
        <f t="shared" si="228"/>
        <v>gl</v>
      </c>
      <c r="J1196" s="350">
        <f t="shared" si="229"/>
        <v>10</v>
      </c>
      <c r="K1196" s="360" t="s">
        <v>2299</v>
      </c>
      <c r="L1196" s="20"/>
    </row>
    <row r="1197" spans="1:13">
      <c r="A1197" s="14" t="s">
        <v>31</v>
      </c>
      <c r="D1197" s="18">
        <v>4</v>
      </c>
      <c r="E1197" s="26" t="str">
        <f t="shared" si="225"/>
        <v>-</v>
      </c>
      <c r="F1197" s="311"/>
      <c r="G1197" s="307" t="str">
        <f t="shared" si="226"/>
        <v>-</v>
      </c>
      <c r="H1197" s="351">
        <f t="shared" si="227"/>
        <v>0</v>
      </c>
      <c r="I1197" s="537" t="str">
        <f t="shared" si="228"/>
        <v>-</v>
      </c>
      <c r="J1197" s="538">
        <f t="shared" si="229"/>
        <v>0</v>
      </c>
      <c r="K1197" s="539" t="s">
        <v>2299</v>
      </c>
      <c r="L1197" s="20"/>
    </row>
    <row r="1198" spans="1:13">
      <c r="A1198" s="14" t="s">
        <v>31</v>
      </c>
      <c r="D1198" s="18">
        <v>5</v>
      </c>
      <c r="E1198" s="26" t="str">
        <f t="shared" si="225"/>
        <v>-</v>
      </c>
      <c r="F1198" s="311"/>
      <c r="G1198" s="307" t="str">
        <f t="shared" si="226"/>
        <v>-</v>
      </c>
      <c r="H1198" s="351">
        <f t="shared" si="227"/>
        <v>0</v>
      </c>
      <c r="I1198" s="537" t="str">
        <f t="shared" si="228"/>
        <v>-</v>
      </c>
      <c r="J1198" s="538">
        <f t="shared" si="229"/>
        <v>0</v>
      </c>
      <c r="K1198" s="539" t="s">
        <v>2299</v>
      </c>
      <c r="L1198" s="20"/>
    </row>
    <row r="1199" spans="1:13">
      <c r="A1199" s="14" t="s">
        <v>31</v>
      </c>
      <c r="D1199" s="18">
        <v>6</v>
      </c>
      <c r="E1199" s="26" t="str">
        <f t="shared" si="225"/>
        <v>-</v>
      </c>
      <c r="F1199" s="311"/>
      <c r="G1199" s="307" t="str">
        <f t="shared" si="226"/>
        <v>-</v>
      </c>
      <c r="H1199" s="351">
        <f t="shared" si="227"/>
        <v>0</v>
      </c>
      <c r="I1199" s="537" t="str">
        <f t="shared" si="228"/>
        <v>-</v>
      </c>
      <c r="J1199" s="538">
        <f t="shared" si="229"/>
        <v>0</v>
      </c>
      <c r="K1199" s="539" t="s">
        <v>2299</v>
      </c>
      <c r="L1199" s="20"/>
    </row>
    <row r="1200" spans="1:13">
      <c r="A1200" s="14" t="s">
        <v>31</v>
      </c>
      <c r="D1200" s="18">
        <v>7</v>
      </c>
      <c r="E1200" s="26" t="str">
        <f t="shared" si="225"/>
        <v>-</v>
      </c>
      <c r="F1200" s="311"/>
      <c r="G1200" s="307" t="str">
        <f t="shared" si="226"/>
        <v>-</v>
      </c>
      <c r="H1200" s="351">
        <f t="shared" si="227"/>
        <v>0</v>
      </c>
      <c r="I1200" s="537" t="str">
        <f t="shared" si="228"/>
        <v>-</v>
      </c>
      <c r="J1200" s="538">
        <f t="shared" si="229"/>
        <v>0</v>
      </c>
      <c r="K1200" s="539" t="s">
        <v>2299</v>
      </c>
      <c r="L1200" s="20"/>
    </row>
    <row r="1201" spans="1:16">
      <c r="A1201" s="14" t="s">
        <v>31</v>
      </c>
      <c r="D1201" s="18">
        <v>8</v>
      </c>
      <c r="E1201" s="26" t="str">
        <f t="shared" si="225"/>
        <v>-</v>
      </c>
      <c r="F1201" s="311"/>
      <c r="G1201" s="307" t="str">
        <f t="shared" si="226"/>
        <v>-</v>
      </c>
      <c r="H1201" s="351">
        <f t="shared" si="227"/>
        <v>0</v>
      </c>
      <c r="I1201" s="537" t="str">
        <f t="shared" si="228"/>
        <v>-</v>
      </c>
      <c r="J1201" s="538">
        <f t="shared" si="229"/>
        <v>0</v>
      </c>
      <c r="K1201" s="539" t="s">
        <v>2299</v>
      </c>
      <c r="L1201" s="20"/>
    </row>
    <row r="1202" spans="1:16">
      <c r="A1202" s="14" t="s">
        <v>31</v>
      </c>
      <c r="D1202" s="18">
        <v>9</v>
      </c>
      <c r="E1202" s="26" t="str">
        <f t="shared" si="225"/>
        <v>-</v>
      </c>
      <c r="F1202" s="311"/>
      <c r="G1202" s="307" t="str">
        <f t="shared" si="226"/>
        <v>-</v>
      </c>
      <c r="H1202" s="351">
        <f t="shared" si="227"/>
        <v>0</v>
      </c>
      <c r="I1202" s="537" t="str">
        <f t="shared" si="228"/>
        <v>-</v>
      </c>
      <c r="J1202" s="538">
        <f t="shared" si="229"/>
        <v>0</v>
      </c>
      <c r="K1202" s="539" t="s">
        <v>2299</v>
      </c>
      <c r="L1202" s="20"/>
    </row>
    <row r="1203" spans="1:16">
      <c r="A1203" s="14" t="s">
        <v>31</v>
      </c>
      <c r="D1203" s="18">
        <v>10</v>
      </c>
      <c r="E1203" s="26" t="str">
        <f t="shared" si="225"/>
        <v>-</v>
      </c>
      <c r="F1203" s="311"/>
      <c r="G1203" s="307" t="str">
        <f t="shared" si="226"/>
        <v>-</v>
      </c>
      <c r="H1203" s="351">
        <f t="shared" si="227"/>
        <v>0</v>
      </c>
      <c r="I1203" s="537" t="str">
        <f t="shared" si="228"/>
        <v>-</v>
      </c>
      <c r="J1203" s="538">
        <f t="shared" si="229"/>
        <v>0</v>
      </c>
      <c r="K1203" s="539" t="s">
        <v>2299</v>
      </c>
      <c r="L1203" s="20"/>
    </row>
    <row r="1204" spans="1:16">
      <c r="A1204" s="14" t="s">
        <v>31</v>
      </c>
      <c r="D1204" s="18">
        <v>11</v>
      </c>
      <c r="E1204" s="26" t="str">
        <f t="shared" si="225"/>
        <v>-</v>
      </c>
      <c r="F1204" s="311"/>
      <c r="G1204" s="307" t="str">
        <f t="shared" si="226"/>
        <v>-</v>
      </c>
      <c r="H1204" s="351">
        <f t="shared" si="227"/>
        <v>0</v>
      </c>
      <c r="I1204" s="537" t="str">
        <f t="shared" si="228"/>
        <v>-</v>
      </c>
      <c r="J1204" s="538">
        <f t="shared" si="229"/>
        <v>0</v>
      </c>
      <c r="K1204" s="539" t="s">
        <v>2299</v>
      </c>
      <c r="L1204" s="20"/>
    </row>
    <row r="1205" spans="1:16">
      <c r="A1205" s="14" t="s">
        <v>31</v>
      </c>
      <c r="D1205" s="18">
        <v>12</v>
      </c>
      <c r="E1205" s="26" t="str">
        <f t="shared" si="225"/>
        <v>-</v>
      </c>
      <c r="F1205" s="311"/>
      <c r="G1205" s="307" t="str">
        <f t="shared" si="226"/>
        <v>-</v>
      </c>
      <c r="H1205" s="352">
        <f t="shared" si="227"/>
        <v>0</v>
      </c>
      <c r="I1205" s="537" t="str">
        <f t="shared" si="228"/>
        <v>-</v>
      </c>
      <c r="J1205" s="538">
        <f t="shared" si="229"/>
        <v>0</v>
      </c>
      <c r="K1205" s="539" t="s">
        <v>2299</v>
      </c>
      <c r="L1205" s="20"/>
    </row>
    <row r="1206" spans="1:16">
      <c r="A1206" s="14" t="s">
        <v>31</v>
      </c>
      <c r="D1206" s="18">
        <v>13</v>
      </c>
      <c r="E1206" s="26" t="str">
        <f t="shared" si="225"/>
        <v>-</v>
      </c>
      <c r="F1206" s="311"/>
      <c r="G1206" s="307" t="str">
        <f t="shared" si="226"/>
        <v>-</v>
      </c>
      <c r="H1206" s="352">
        <f t="shared" si="227"/>
        <v>0</v>
      </c>
      <c r="I1206" s="537" t="str">
        <f t="shared" si="228"/>
        <v>-</v>
      </c>
      <c r="J1206" s="538">
        <f t="shared" si="229"/>
        <v>0</v>
      </c>
      <c r="K1206" s="539" t="s">
        <v>2299</v>
      </c>
      <c r="L1206" s="20"/>
    </row>
    <row r="1207" spans="1:16">
      <c r="A1207" s="14" t="s">
        <v>31</v>
      </c>
      <c r="D1207" s="18">
        <v>14</v>
      </c>
      <c r="E1207" s="26" t="str">
        <f t="shared" si="225"/>
        <v>-</v>
      </c>
      <c r="F1207" s="311"/>
      <c r="G1207" s="307" t="str">
        <f t="shared" si="226"/>
        <v>-</v>
      </c>
      <c r="H1207" s="352">
        <f t="shared" si="227"/>
        <v>0</v>
      </c>
      <c r="I1207" s="537" t="str">
        <f t="shared" si="228"/>
        <v>-</v>
      </c>
      <c r="J1207" s="538">
        <f t="shared" si="229"/>
        <v>0</v>
      </c>
      <c r="K1207" s="539" t="s">
        <v>2299</v>
      </c>
      <c r="L1207" s="20"/>
    </row>
    <row r="1208" spans="1:16">
      <c r="A1208" s="14" t="s">
        <v>31</v>
      </c>
      <c r="D1208" s="18">
        <v>15</v>
      </c>
      <c r="E1208" s="26" t="str">
        <f t="shared" si="225"/>
        <v>-</v>
      </c>
      <c r="F1208" s="311"/>
      <c r="G1208" s="307" t="str">
        <f t="shared" si="226"/>
        <v>-</v>
      </c>
      <c r="H1208" s="352">
        <f t="shared" si="227"/>
        <v>0</v>
      </c>
      <c r="I1208" s="537" t="str">
        <f t="shared" si="228"/>
        <v>-</v>
      </c>
      <c r="J1208" s="538">
        <f t="shared" si="229"/>
        <v>0</v>
      </c>
      <c r="K1208" s="539" t="s">
        <v>2299</v>
      </c>
      <c r="L1208" s="20"/>
    </row>
    <row r="1209" spans="1:16">
      <c r="A1209" s="14" t="s">
        <v>31</v>
      </c>
      <c r="D1209" s="18">
        <v>16</v>
      </c>
      <c r="E1209" s="26" t="str">
        <f t="shared" si="225"/>
        <v>-</v>
      </c>
      <c r="F1209" s="311"/>
      <c r="G1209" s="307" t="str">
        <f t="shared" si="226"/>
        <v>-</v>
      </c>
      <c r="H1209" s="352">
        <f t="shared" si="227"/>
        <v>0</v>
      </c>
      <c r="I1209" s="537" t="str">
        <f t="shared" si="228"/>
        <v>-</v>
      </c>
      <c r="J1209" s="538">
        <f t="shared" si="229"/>
        <v>0</v>
      </c>
      <c r="K1209" s="539" t="s">
        <v>2299</v>
      </c>
      <c r="L1209" s="20"/>
    </row>
    <row r="1210" spans="1:16">
      <c r="A1210" s="14" t="s">
        <v>31</v>
      </c>
      <c r="D1210" s="18">
        <v>17</v>
      </c>
      <c r="E1210" s="26" t="str">
        <f t="shared" si="225"/>
        <v>-</v>
      </c>
      <c r="F1210" s="311"/>
      <c r="G1210" s="307" t="str">
        <f t="shared" si="226"/>
        <v>-</v>
      </c>
      <c r="H1210" s="352">
        <f t="shared" si="227"/>
        <v>0</v>
      </c>
      <c r="I1210" s="537" t="str">
        <f t="shared" si="228"/>
        <v>-</v>
      </c>
      <c r="J1210" s="538">
        <f t="shared" si="229"/>
        <v>0</v>
      </c>
      <c r="K1210" s="539" t="s">
        <v>2299</v>
      </c>
      <c r="L1210" s="20"/>
    </row>
    <row r="1211" spans="1:16">
      <c r="A1211" s="14" t="s">
        <v>31</v>
      </c>
      <c r="D1211" s="18">
        <v>18</v>
      </c>
      <c r="E1211" s="26" t="str">
        <f t="shared" si="225"/>
        <v>-</v>
      </c>
      <c r="F1211" s="311"/>
      <c r="G1211" s="307" t="str">
        <f t="shared" si="226"/>
        <v>-</v>
      </c>
      <c r="H1211" s="352">
        <f t="shared" si="227"/>
        <v>0</v>
      </c>
      <c r="I1211" s="537" t="str">
        <f t="shared" si="228"/>
        <v>-</v>
      </c>
      <c r="J1211" s="538">
        <f t="shared" si="229"/>
        <v>0</v>
      </c>
      <c r="K1211" s="539" t="s">
        <v>2299</v>
      </c>
      <c r="L1211" s="20"/>
    </row>
    <row r="1212" spans="1:16">
      <c r="A1212" s="14" t="s">
        <v>31</v>
      </c>
      <c r="D1212" s="18">
        <v>19</v>
      </c>
      <c r="E1212" s="26" t="str">
        <f t="shared" si="225"/>
        <v>-</v>
      </c>
      <c r="F1212" s="311"/>
      <c r="G1212" s="307" t="str">
        <f t="shared" si="226"/>
        <v>-</v>
      </c>
      <c r="H1212" s="352">
        <f t="shared" si="227"/>
        <v>0</v>
      </c>
      <c r="I1212" s="537" t="str">
        <f t="shared" si="228"/>
        <v>-</v>
      </c>
      <c r="J1212" s="538">
        <f t="shared" si="229"/>
        <v>0</v>
      </c>
      <c r="K1212" s="539" t="s">
        <v>2299</v>
      </c>
      <c r="L1212" s="20"/>
    </row>
    <row r="1213" spans="1:16">
      <c r="A1213" s="14" t="s">
        <v>31</v>
      </c>
      <c r="D1213" s="18">
        <v>20</v>
      </c>
      <c r="E1213" s="26" t="str">
        <f t="shared" si="225"/>
        <v>-</v>
      </c>
      <c r="F1213" s="311"/>
      <c r="G1213" s="307" t="str">
        <f t="shared" si="226"/>
        <v>-</v>
      </c>
      <c r="H1213" s="352">
        <f t="shared" si="227"/>
        <v>0</v>
      </c>
      <c r="I1213" s="537" t="str">
        <f t="shared" si="228"/>
        <v>-</v>
      </c>
      <c r="J1213" s="541">
        <f t="shared" si="229"/>
        <v>0</v>
      </c>
      <c r="K1213" s="539" t="s">
        <v>2299</v>
      </c>
      <c r="L1213" s="20"/>
    </row>
    <row r="1214" spans="1:16">
      <c r="A1214" s="14">
        <f>A1181+1</f>
        <v>26</v>
      </c>
      <c r="B1214" s="14" t="str">
        <f>"MA" &amp; TEXT(A1214,"##000")</f>
        <v>MA026</v>
      </c>
      <c r="D1214" s="18"/>
      <c r="E1214" s="591" t="s">
        <v>2302</v>
      </c>
      <c r="F1214" s="592"/>
      <c r="G1214" s="592"/>
      <c r="H1214" s="592"/>
      <c r="I1214" s="327"/>
      <c r="J1214" s="353">
        <f>SUM(J1194:J1213)</f>
        <v>59.64</v>
      </c>
      <c r="K1214" s="365" t="str">
        <f>+F1191</f>
        <v>m2</v>
      </c>
      <c r="L1214" s="20"/>
      <c r="O1214" s="27" t="s">
        <v>1525</v>
      </c>
      <c r="P1214" s="110">
        <v>45</v>
      </c>
    </row>
    <row r="1215" spans="1:16">
      <c r="D1215" s="18"/>
      <c r="E1215" s="593" t="s">
        <v>100</v>
      </c>
      <c r="F1215" s="594"/>
      <c r="G1215" s="594"/>
      <c r="H1215" s="594"/>
      <c r="I1215" s="594"/>
      <c r="J1215" s="595"/>
      <c r="K1215" s="347"/>
      <c r="L1215" s="20"/>
      <c r="O1215" s="27" t="s">
        <v>1524</v>
      </c>
      <c r="P1215" s="110">
        <v>0</v>
      </c>
    </row>
    <row r="1216" spans="1:16">
      <c r="A1216" s="14" t="s">
        <v>84</v>
      </c>
      <c r="D1216" s="18">
        <v>1</v>
      </c>
      <c r="E1216" s="26" t="str">
        <f>VLOOKUP($A1216,MATMO,2,FALSE)</f>
        <v>Oficial</v>
      </c>
      <c r="F1216" s="311">
        <v>0.7</v>
      </c>
      <c r="G1216" s="307" t="str">
        <f>VLOOKUP($A1216,MATMO,3,FALSE)</f>
        <v>hs</v>
      </c>
      <c r="H1216" s="110">
        <f>VLOOKUP($A1216,MATMO,4,FALSE)*$Q$7</f>
        <v>55.38</v>
      </c>
      <c r="I1216" s="354" t="str">
        <f t="shared" ref="I1216:I1220" si="230">+G1216</f>
        <v>hs</v>
      </c>
      <c r="J1216" s="350">
        <f t="shared" ref="J1216:J1220" si="231">+H1216*F1216</f>
        <v>38.765999999999998</v>
      </c>
      <c r="K1216" s="360" t="s">
        <v>2299</v>
      </c>
      <c r="L1216" s="20"/>
      <c r="M1216" s="14" t="s">
        <v>2006</v>
      </c>
      <c r="O1216" s="27" t="s">
        <v>1526</v>
      </c>
      <c r="P1216" s="110">
        <v>0</v>
      </c>
    </row>
    <row r="1217" spans="1:19">
      <c r="A1217" s="14" t="s">
        <v>85</v>
      </c>
      <c r="D1217" s="18">
        <v>2</v>
      </c>
      <c r="E1217" s="26" t="str">
        <f>VLOOKUP($A1217,MATMO,2,FALSE)</f>
        <v>Ayudante</v>
      </c>
      <c r="F1217" s="311">
        <v>0.11</v>
      </c>
      <c r="G1217" s="307" t="str">
        <f>VLOOKUP($A1217,MATMO,3,FALSE)</f>
        <v>hs</v>
      </c>
      <c r="H1217" s="110">
        <f>VLOOKUP($A1217,MATMO,4,FALSE)*$Q$7</f>
        <v>46.87</v>
      </c>
      <c r="I1217" s="354" t="str">
        <f t="shared" si="230"/>
        <v>hs</v>
      </c>
      <c r="J1217" s="350">
        <f t="shared" si="231"/>
        <v>5.1556999999999995</v>
      </c>
      <c r="K1217" s="360" t="s">
        <v>2299</v>
      </c>
      <c r="L1217" s="20"/>
      <c r="O1217" s="27" t="s">
        <v>1527</v>
      </c>
      <c r="P1217" s="110">
        <v>0</v>
      </c>
    </row>
    <row r="1218" spans="1:19">
      <c r="A1218" s="14" t="s">
        <v>2311</v>
      </c>
      <c r="D1218" s="18">
        <v>3</v>
      </c>
      <c r="E1218" s="26" t="str">
        <f>VLOOKUP($A1218,MATMO,2,FALSE)</f>
        <v>Cargas Sociales Oficial</v>
      </c>
      <c r="F1218" s="311">
        <f>+F1216</f>
        <v>0.7</v>
      </c>
      <c r="G1218" s="307" t="str">
        <f>VLOOKUP($A1218,MATMO,3,FALSE)</f>
        <v>hs</v>
      </c>
      <c r="H1218" s="110">
        <f>VLOOKUP($A1218,MATMO,4,FALSE)*$Q$7</f>
        <v>52.742782499999997</v>
      </c>
      <c r="I1218" s="354" t="str">
        <f t="shared" si="230"/>
        <v>hs</v>
      </c>
      <c r="J1218" s="350">
        <f t="shared" si="231"/>
        <v>36.919947749999999</v>
      </c>
      <c r="K1218" s="360" t="s">
        <v>2299</v>
      </c>
      <c r="L1218" s="20"/>
      <c r="O1218" s="27"/>
      <c r="P1218" s="110">
        <v>0</v>
      </c>
    </row>
    <row r="1219" spans="1:19">
      <c r="A1219" s="14" t="s">
        <v>2312</v>
      </c>
      <c r="D1219" s="18">
        <v>4</v>
      </c>
      <c r="E1219" s="26" t="str">
        <f>VLOOKUP($A1219,MATMO,2,FALSE)</f>
        <v>Cargas Sociales Ayudante</v>
      </c>
      <c r="F1219" s="311">
        <f>+F1217</f>
        <v>0.11</v>
      </c>
      <c r="G1219" s="307" t="str">
        <f>VLOOKUP($A1219,MATMO,3,FALSE)</f>
        <v>hs</v>
      </c>
      <c r="H1219" s="110">
        <f>VLOOKUP($A1219,MATMO,4,FALSE)*$Q$7</f>
        <v>45.108248750000001</v>
      </c>
      <c r="I1219" s="354" t="str">
        <f t="shared" si="230"/>
        <v>hs</v>
      </c>
      <c r="J1219" s="350">
        <f t="shared" si="231"/>
        <v>4.9619073624999999</v>
      </c>
      <c r="K1219" s="360" t="s">
        <v>2299</v>
      </c>
      <c r="L1219" s="20"/>
      <c r="O1219" s="27"/>
      <c r="P1219" s="110">
        <v>0</v>
      </c>
    </row>
    <row r="1220" spans="1:19" ht="16.5" thickBot="1">
      <c r="A1220" s="14" t="s">
        <v>83</v>
      </c>
      <c r="D1220" s="18">
        <v>5</v>
      </c>
      <c r="E1220" s="26" t="str">
        <f>VLOOKUP($A1220,MATMO,2,FALSE)</f>
        <v>-</v>
      </c>
      <c r="F1220" s="311"/>
      <c r="G1220" s="307" t="str">
        <f>VLOOKUP($A1220,MATMO,3,FALSE)</f>
        <v>-</v>
      </c>
      <c r="H1220" s="110">
        <f>VLOOKUP($A1220,MATMO,4,FALSE)*$Q$7</f>
        <v>0</v>
      </c>
      <c r="I1220" s="537" t="str">
        <f t="shared" si="230"/>
        <v>-</v>
      </c>
      <c r="J1220" s="538">
        <f t="shared" si="231"/>
        <v>0</v>
      </c>
      <c r="K1220" s="539" t="s">
        <v>2299</v>
      </c>
      <c r="L1220" s="20"/>
      <c r="O1220" s="27"/>
      <c r="P1220" s="110">
        <v>0</v>
      </c>
      <c r="R1220" s="29" t="s">
        <v>2307</v>
      </c>
    </row>
    <row r="1221" spans="1:19" ht="16.5" thickBot="1">
      <c r="A1221" s="14">
        <f>A1181+1</f>
        <v>26</v>
      </c>
      <c r="B1221" s="14" t="str">
        <f>"MO" &amp; TEXT(A1221,"##000")</f>
        <v>MO026</v>
      </c>
      <c r="D1221" s="18"/>
      <c r="E1221" s="591" t="s">
        <v>2301</v>
      </c>
      <c r="F1221" s="592"/>
      <c r="G1221" s="592"/>
      <c r="H1221" s="592"/>
      <c r="I1221" s="327"/>
      <c r="J1221" s="362">
        <f>SUM(J1216:J1220)</f>
        <v>85.803555112499993</v>
      </c>
      <c r="K1221" s="365" t="str">
        <f>+G1216</f>
        <v>hs</v>
      </c>
      <c r="L1221" s="20"/>
      <c r="N1221" s="111">
        <f>+P1221+R1221</f>
        <v>85.5</v>
      </c>
      <c r="O1221" s="27"/>
      <c r="P1221" s="27">
        <f>SUM(P1214:P1220)</f>
        <v>45</v>
      </c>
      <c r="Q1221" s="26">
        <v>0.9</v>
      </c>
      <c r="R1221" s="287">
        <f>+Q1221*P1221</f>
        <v>40.5</v>
      </c>
      <c r="S1221" s="288"/>
    </row>
    <row r="1222" spans="1:19">
      <c r="D1222" s="18"/>
      <c r="E1222" s="593" t="s">
        <v>101</v>
      </c>
      <c r="F1222" s="594"/>
      <c r="G1222" s="594"/>
      <c r="H1222" s="594"/>
      <c r="I1222" s="594"/>
      <c r="J1222" s="595"/>
      <c r="K1222" s="347"/>
      <c r="L1222" s="20"/>
      <c r="P1222" s="14" t="s">
        <v>2308</v>
      </c>
    </row>
    <row r="1223" spans="1:19">
      <c r="A1223" s="14" t="s">
        <v>119</v>
      </c>
      <c r="D1223" s="18">
        <v>1</v>
      </c>
      <c r="E1223" s="26" t="str">
        <f>VLOOKUP($A1223,MATMO,2,FALSE)</f>
        <v>Herramientas de Mano</v>
      </c>
      <c r="F1223" s="311">
        <v>1</v>
      </c>
      <c r="G1223" s="307" t="str">
        <f>VLOOKUP($A1223,MATMO,3,FALSE)</f>
        <v>gl</v>
      </c>
      <c r="H1223" s="110">
        <f>+(J1214+J1221)*$Q$5</f>
        <v>5.8177422045</v>
      </c>
      <c r="I1223" s="345" t="str">
        <f>+G1223</f>
        <v>gl</v>
      </c>
      <c r="J1223" s="350">
        <f t="shared" ref="J1223:J1227" si="232">+H1223*F1223</f>
        <v>5.8177422045</v>
      </c>
      <c r="K1223" s="360" t="s">
        <v>2299</v>
      </c>
      <c r="L1223" s="20"/>
      <c r="M1223" s="14" t="s">
        <v>2004</v>
      </c>
    </row>
    <row r="1224" spans="1:19">
      <c r="A1224" s="14" t="s">
        <v>121</v>
      </c>
      <c r="D1224" s="18">
        <v>2</v>
      </c>
      <c r="E1224" s="26" t="str">
        <f>VLOOKUP($A1224,MATMO,2,FALSE)</f>
        <v>Hormigonera</v>
      </c>
      <c r="F1224" s="311">
        <v>0.05</v>
      </c>
      <c r="G1224" s="307" t="str">
        <f>VLOOKUP($A1224,MATMO,3,FALSE)</f>
        <v>hs</v>
      </c>
      <c r="H1224" s="110">
        <f>VLOOKUP($A1224,MATMO,4,FALSE)*$Q$6</f>
        <v>301.3085399449036</v>
      </c>
      <c r="I1224" s="345" t="str">
        <f t="shared" ref="I1224:I1227" si="233">+G1224</f>
        <v>hs</v>
      </c>
      <c r="J1224" s="350">
        <f t="shared" si="232"/>
        <v>15.065426997245181</v>
      </c>
      <c r="K1224" s="360" t="s">
        <v>2299</v>
      </c>
      <c r="L1224" s="20"/>
    </row>
    <row r="1225" spans="1:19">
      <c r="A1225" s="14" t="s">
        <v>118</v>
      </c>
      <c r="D1225" s="18">
        <v>3</v>
      </c>
      <c r="E1225" s="26" t="str">
        <f>VLOOKUP($A1225,MATMO,2,FALSE)</f>
        <v>-</v>
      </c>
      <c r="F1225" s="311"/>
      <c r="G1225" s="307" t="str">
        <f>VLOOKUP($A1225,MATMO,3,FALSE)</f>
        <v>-</v>
      </c>
      <c r="H1225" s="110">
        <f>VLOOKUP($A1225,MATMO,4,FALSE)*$Q$6</f>
        <v>0</v>
      </c>
      <c r="I1225" s="543" t="str">
        <f t="shared" si="233"/>
        <v>-</v>
      </c>
      <c r="J1225" s="538">
        <f t="shared" si="232"/>
        <v>0</v>
      </c>
      <c r="K1225" s="539" t="s">
        <v>2299</v>
      </c>
      <c r="L1225" s="20"/>
    </row>
    <row r="1226" spans="1:19">
      <c r="A1226" s="14" t="s">
        <v>118</v>
      </c>
      <c r="D1226" s="18">
        <v>4</v>
      </c>
      <c r="E1226" s="26" t="str">
        <f>VLOOKUP($A1226,MATMO,2,FALSE)</f>
        <v>-</v>
      </c>
      <c r="F1226" s="311"/>
      <c r="G1226" s="307" t="str">
        <f>VLOOKUP($A1226,MATMO,3,FALSE)</f>
        <v>-</v>
      </c>
      <c r="H1226" s="110">
        <f>VLOOKUP($A1226,MATMO,4,FALSE)*$Q$6</f>
        <v>0</v>
      </c>
      <c r="I1226" s="543" t="str">
        <f t="shared" si="233"/>
        <v>-</v>
      </c>
      <c r="J1226" s="538">
        <f t="shared" si="232"/>
        <v>0</v>
      </c>
      <c r="K1226" s="539" t="s">
        <v>2299</v>
      </c>
      <c r="L1226" s="20"/>
    </row>
    <row r="1227" spans="1:19">
      <c r="A1227" s="14" t="s">
        <v>118</v>
      </c>
      <c r="D1227" s="18">
        <v>5</v>
      </c>
      <c r="E1227" s="26" t="str">
        <f>VLOOKUP($A1227,MATMO,2,FALSE)</f>
        <v>-</v>
      </c>
      <c r="F1227" s="311"/>
      <c r="G1227" s="307" t="str">
        <f>VLOOKUP($A1227,MATMO,3,FALSE)</f>
        <v>-</v>
      </c>
      <c r="H1227" s="110">
        <f>VLOOKUP($A1227,MATMO,4,FALSE)*$Q$6</f>
        <v>0</v>
      </c>
      <c r="I1227" s="543" t="str">
        <f t="shared" si="233"/>
        <v>-</v>
      </c>
      <c r="J1227" s="538">
        <f t="shared" si="232"/>
        <v>0</v>
      </c>
      <c r="K1227" s="539" t="s">
        <v>2299</v>
      </c>
      <c r="L1227" s="20"/>
    </row>
    <row r="1228" spans="1:19">
      <c r="A1228" s="14">
        <f>A1181+1</f>
        <v>26</v>
      </c>
      <c r="B1228" s="14" t="str">
        <f>"E" &amp; TEXT(A1228,"##000")</f>
        <v>E026</v>
      </c>
      <c r="D1228" s="18"/>
      <c r="E1228" s="591" t="s">
        <v>2300</v>
      </c>
      <c r="F1228" s="592"/>
      <c r="G1228" s="592"/>
      <c r="H1228" s="592"/>
      <c r="I1228" s="327"/>
      <c r="J1228" s="362">
        <f>SUM(J1223:J1227)</f>
        <v>20.883169201745183</v>
      </c>
      <c r="K1228" s="365" t="s">
        <v>116</v>
      </c>
      <c r="L1228" s="20"/>
    </row>
    <row r="1229" spans="1:19">
      <c r="D1229" s="18"/>
      <c r="E1229" s="596"/>
      <c r="F1229" s="597"/>
      <c r="G1229" s="597"/>
      <c r="H1229" s="597"/>
      <c r="I1229" s="597"/>
      <c r="J1229" s="598"/>
      <c r="K1229" s="348"/>
      <c r="L1229" s="20"/>
    </row>
    <row r="1230" spans="1:19">
      <c r="D1230" s="18"/>
      <c r="E1230" s="591" t="s">
        <v>2306</v>
      </c>
      <c r="F1230" s="592"/>
      <c r="G1230" s="592"/>
      <c r="H1230" s="592"/>
      <c r="I1230" s="327"/>
      <c r="J1230" s="308">
        <f>+J1228+J1221+J1214</f>
        <v>166.32672431424515</v>
      </c>
      <c r="K1230" s="365" t="str">
        <f>+F1191</f>
        <v>m2</v>
      </c>
      <c r="L1230" s="20"/>
    </row>
    <row r="1231" spans="1:19">
      <c r="D1231" s="18"/>
      <c r="E1231" s="591" t="s">
        <v>2305</v>
      </c>
      <c r="F1231" s="592"/>
      <c r="G1231" s="592"/>
      <c r="H1231" s="592"/>
      <c r="I1231" s="406">
        <f>+$Q$9</f>
        <v>1.6902999999999999</v>
      </c>
      <c r="J1231" s="308">
        <f>+$Q$9*J1230</f>
        <v>281.14206210836858</v>
      </c>
      <c r="K1231" s="365" t="str">
        <f>+F1191</f>
        <v>m2</v>
      </c>
      <c r="L1231" s="20"/>
    </row>
    <row r="1232" spans="1:19">
      <c r="A1232" s="14">
        <f>A1185+1</f>
        <v>26</v>
      </c>
      <c r="B1232" s="14" t="str">
        <f>"TR" &amp; TEXT(A1232,"##000")</f>
        <v>TR026</v>
      </c>
      <c r="C1232" s="14">
        <f>+C1185+1</f>
        <v>26</v>
      </c>
      <c r="D1232" s="18"/>
      <c r="E1232" s="591" t="s">
        <v>2304</v>
      </c>
      <c r="F1232" s="592"/>
      <c r="G1232" s="592"/>
      <c r="H1232" s="592"/>
      <c r="I1232" s="327"/>
      <c r="J1232" s="308">
        <f>+J1231</f>
        <v>281.14206210836858</v>
      </c>
      <c r="K1232" s="365" t="str">
        <f>+F1191</f>
        <v>m2</v>
      </c>
      <c r="L1232" s="20"/>
    </row>
    <row r="1233" spans="1:13" ht="16.5" thickBot="1">
      <c r="D1233" s="21"/>
      <c r="E1233" s="30"/>
      <c r="F1233" s="30"/>
      <c r="G1233" s="30"/>
      <c r="H1233" s="30"/>
      <c r="I1233" s="30"/>
      <c r="J1233" s="30"/>
      <c r="K1233" s="349"/>
      <c r="L1233" s="22"/>
    </row>
    <row r="1234" spans="1:13" ht="16.5" thickTop="1">
      <c r="D1234" s="15"/>
      <c r="E1234" s="16"/>
      <c r="F1234" s="16"/>
      <c r="G1234" s="16"/>
      <c r="H1234" s="16"/>
      <c r="I1234" s="16"/>
      <c r="J1234" s="16"/>
      <c r="K1234" s="16"/>
      <c r="L1234" s="17"/>
    </row>
    <row r="1235" spans="1:13">
      <c r="A1235" s="14" t="s">
        <v>1846</v>
      </c>
      <c r="D1235" s="18"/>
      <c r="E1235" s="23" t="s">
        <v>95</v>
      </c>
      <c r="F1235" s="24" t="str">
        <f>VLOOKUP($A1235,DATRUB,3,FALSE)</f>
        <v>RUBRO VII:</v>
      </c>
      <c r="G1235" s="599" t="str">
        <f>VLOOKUP($A1235,DATRUB,4,FALSE)</f>
        <v>CONTRAPISOS, CARPETAS, PISOS, UMBRALES y ZÓCALOS,</v>
      </c>
      <c r="H1235" s="599"/>
      <c r="I1235" s="599"/>
      <c r="J1235" s="599"/>
      <c r="K1235" s="599"/>
      <c r="L1235" s="20"/>
    </row>
    <row r="1236" spans="1:13" ht="35.1" customHeight="1">
      <c r="A1236" s="14" t="s">
        <v>1847</v>
      </c>
      <c r="D1236" s="18"/>
      <c r="E1236" s="23" t="s">
        <v>96</v>
      </c>
      <c r="F1236" s="399">
        <f>VLOOKUP($A1236,DATRUB,3,FALSE)</f>
        <v>7.1</v>
      </c>
      <c r="G1236" s="599" t="str">
        <f>VLOOKUP($A1236,DATRUB,4,FALSE)</f>
        <v>De Hº Alivianado con Membrana Asfáltica  (Completa)</v>
      </c>
      <c r="H1236" s="599"/>
      <c r="I1236" s="599"/>
      <c r="J1236" s="599"/>
      <c r="K1236" s="599"/>
      <c r="L1236" s="20"/>
    </row>
    <row r="1237" spans="1:13" ht="35.1" customHeight="1">
      <c r="A1237" s="14" t="s">
        <v>1847</v>
      </c>
      <c r="D1237" s="18"/>
      <c r="E1237" s="23" t="s">
        <v>97</v>
      </c>
      <c r="F1237" s="399">
        <f>VLOOKUP($A1237,DATRUB,3,FALSE)</f>
        <v>7.1</v>
      </c>
      <c r="G1237" s="599" t="str">
        <f>VLOOKUP($A1237,DATRUB,4,FALSE)</f>
        <v>De Hº Alivianado con Membrana Asfáltica  (Completa)</v>
      </c>
      <c r="H1237" s="599"/>
      <c r="I1237" s="599"/>
      <c r="J1237" s="599"/>
      <c r="K1237" s="599"/>
      <c r="L1237" s="20"/>
    </row>
    <row r="1238" spans="1:13">
      <c r="D1238" s="18"/>
      <c r="E1238" s="23" t="s">
        <v>98</v>
      </c>
      <c r="F1238" s="24" t="str">
        <f>VLOOKUP($A1237,DATRUB,5,FALSE)</f>
        <v>m2</v>
      </c>
      <c r="G1238" s="600"/>
      <c r="H1238" s="600"/>
      <c r="I1238" s="600"/>
      <c r="J1238" s="600"/>
      <c r="K1238" s="600"/>
      <c r="L1238" s="20"/>
    </row>
    <row r="1239" spans="1:13">
      <c r="D1239" s="18"/>
      <c r="E1239" s="24" t="s">
        <v>1158</v>
      </c>
      <c r="F1239" s="25" t="s">
        <v>1250</v>
      </c>
      <c r="G1239" s="24" t="s">
        <v>24</v>
      </c>
      <c r="H1239" s="24" t="s">
        <v>25</v>
      </c>
      <c r="I1239" s="24" t="s">
        <v>24</v>
      </c>
      <c r="J1239" s="24" t="s">
        <v>2298</v>
      </c>
      <c r="K1239" s="24" t="s">
        <v>24</v>
      </c>
      <c r="L1239" s="20"/>
    </row>
    <row r="1240" spans="1:13">
      <c r="D1240" s="18"/>
      <c r="E1240" s="593" t="s">
        <v>99</v>
      </c>
      <c r="F1240" s="594"/>
      <c r="G1240" s="594"/>
      <c r="H1240" s="594"/>
      <c r="I1240" s="594"/>
      <c r="J1240" s="594"/>
      <c r="K1240" s="595"/>
      <c r="L1240" s="20"/>
    </row>
    <row r="1241" spans="1:13">
      <c r="A1241" s="14" t="s">
        <v>2375</v>
      </c>
      <c r="D1241" s="18">
        <v>1</v>
      </c>
      <c r="E1241" s="355" t="str">
        <f t="shared" ref="E1241:E1260" si="234">VLOOKUP($A1241,MATMO,2,FALSE)</f>
        <v>Cemento de Albañilería</v>
      </c>
      <c r="F1241" s="400">
        <v>26</v>
      </c>
      <c r="G1241" s="357" t="str">
        <f t="shared" ref="G1241:G1260" si="235">VLOOKUP($A1241,MATMO,3,FALSE)</f>
        <v>kg</v>
      </c>
      <c r="H1241" s="358">
        <f t="shared" ref="H1241:H1260" si="236">VLOOKUP($A1241,MATMO,4,FALSE)*$Q$6</f>
        <v>1.5645</v>
      </c>
      <c r="I1241" s="359" t="str">
        <f t="shared" ref="I1241:I1260" si="237">+G1241</f>
        <v>kg</v>
      </c>
      <c r="J1241" s="361">
        <f>+H1241*F1241</f>
        <v>40.677</v>
      </c>
      <c r="K1241" s="360" t="s">
        <v>2299</v>
      </c>
      <c r="L1241" s="20"/>
      <c r="M1241" s="14" t="s">
        <v>2005</v>
      </c>
    </row>
    <row r="1242" spans="1:13">
      <c r="A1242" s="14" t="s">
        <v>2366</v>
      </c>
      <c r="D1242" s="18">
        <v>2</v>
      </c>
      <c r="E1242" s="26" t="str">
        <f t="shared" si="234"/>
        <v>Arena</v>
      </c>
      <c r="F1242" s="400">
        <v>0.1</v>
      </c>
      <c r="G1242" s="307" t="str">
        <f t="shared" si="235"/>
        <v>m³</v>
      </c>
      <c r="H1242" s="351">
        <f t="shared" si="236"/>
        <v>170</v>
      </c>
      <c r="I1242" s="354" t="str">
        <f t="shared" si="237"/>
        <v>m³</v>
      </c>
      <c r="J1242" s="350">
        <f t="shared" ref="J1242:J1260" si="238">+H1242*F1242</f>
        <v>17</v>
      </c>
      <c r="K1242" s="360" t="s">
        <v>2299</v>
      </c>
      <c r="L1242" s="20"/>
    </row>
    <row r="1243" spans="1:13">
      <c r="A1243" s="14" t="s">
        <v>2367</v>
      </c>
      <c r="D1243" s="18">
        <v>3</v>
      </c>
      <c r="E1243" s="26" t="str">
        <f t="shared" si="234"/>
        <v>Ripio</v>
      </c>
      <c r="F1243" s="400">
        <v>0.06</v>
      </c>
      <c r="G1243" s="307" t="str">
        <f t="shared" si="235"/>
        <v>m³</v>
      </c>
      <c r="H1243" s="351">
        <f t="shared" si="236"/>
        <v>140</v>
      </c>
      <c r="I1243" s="354" t="str">
        <f t="shared" si="237"/>
        <v>m³</v>
      </c>
      <c r="J1243" s="350">
        <f t="shared" si="238"/>
        <v>8.4</v>
      </c>
      <c r="K1243" s="360" t="s">
        <v>2299</v>
      </c>
      <c r="L1243" s="20"/>
    </row>
    <row r="1244" spans="1:13">
      <c r="A1244" s="14" t="s">
        <v>2381</v>
      </c>
      <c r="D1244" s="18">
        <v>4</v>
      </c>
      <c r="E1244" s="26" t="str">
        <f t="shared" si="234"/>
        <v>Pomeca Gruesa</v>
      </c>
      <c r="F1244" s="400">
        <v>0.1</v>
      </c>
      <c r="G1244" s="307" t="str">
        <f t="shared" si="235"/>
        <v>m³</v>
      </c>
      <c r="H1244" s="411">
        <f t="shared" si="236"/>
        <v>500</v>
      </c>
      <c r="I1244" s="354" t="str">
        <f t="shared" si="237"/>
        <v>m³</v>
      </c>
      <c r="J1244" s="350">
        <f t="shared" si="238"/>
        <v>50</v>
      </c>
      <c r="K1244" s="360" t="s">
        <v>2299</v>
      </c>
      <c r="L1244" s="20"/>
    </row>
    <row r="1245" spans="1:13">
      <c r="A1245" s="14" t="s">
        <v>2382</v>
      </c>
      <c r="D1245" s="18">
        <v>5</v>
      </c>
      <c r="E1245" s="26" t="str">
        <f t="shared" si="234"/>
        <v>Membrana 4 mm con aluminio</v>
      </c>
      <c r="F1245" s="400">
        <v>1.2</v>
      </c>
      <c r="G1245" s="307" t="str">
        <f t="shared" si="235"/>
        <v>m²</v>
      </c>
      <c r="H1245" s="351">
        <f t="shared" si="236"/>
        <v>47.6</v>
      </c>
      <c r="I1245" s="354" t="str">
        <f t="shared" si="237"/>
        <v>m²</v>
      </c>
      <c r="J1245" s="350">
        <f t="shared" si="238"/>
        <v>57.12</v>
      </c>
      <c r="K1245" s="360" t="s">
        <v>2299</v>
      </c>
      <c r="L1245" s="20"/>
    </row>
    <row r="1246" spans="1:13">
      <c r="A1246" s="14" t="s">
        <v>2383</v>
      </c>
      <c r="D1246" s="18">
        <v>6</v>
      </c>
      <c r="E1246" s="26" t="str">
        <f t="shared" si="234"/>
        <v>Emulsión asfáltica</v>
      </c>
      <c r="F1246" s="400">
        <v>0.5</v>
      </c>
      <c r="G1246" s="307" t="str">
        <f t="shared" si="235"/>
        <v>lts</v>
      </c>
      <c r="H1246" s="351">
        <f t="shared" si="236"/>
        <v>12.2</v>
      </c>
      <c r="I1246" s="354" t="str">
        <f t="shared" si="237"/>
        <v>lts</v>
      </c>
      <c r="J1246" s="350">
        <f t="shared" si="238"/>
        <v>6.1</v>
      </c>
      <c r="K1246" s="360" t="s">
        <v>2299</v>
      </c>
      <c r="L1246" s="20"/>
    </row>
    <row r="1247" spans="1:13">
      <c r="A1247" s="14" t="s">
        <v>2384</v>
      </c>
      <c r="D1247" s="18">
        <v>7</v>
      </c>
      <c r="E1247" s="26" t="str">
        <f t="shared" si="234"/>
        <v>Gárgola</v>
      </c>
      <c r="F1247" s="400">
        <v>0.05</v>
      </c>
      <c r="G1247" s="307" t="str">
        <f t="shared" si="235"/>
        <v>un</v>
      </c>
      <c r="H1247" s="351">
        <f t="shared" si="236"/>
        <v>40</v>
      </c>
      <c r="I1247" s="354" t="str">
        <f t="shared" si="237"/>
        <v>un</v>
      </c>
      <c r="J1247" s="350">
        <f t="shared" si="238"/>
        <v>2</v>
      </c>
      <c r="K1247" s="360" t="s">
        <v>2299</v>
      </c>
      <c r="L1247" s="20"/>
    </row>
    <row r="1248" spans="1:13">
      <c r="A1248" s="14" t="s">
        <v>31</v>
      </c>
      <c r="D1248" s="18">
        <v>8</v>
      </c>
      <c r="E1248" s="26" t="str">
        <f t="shared" si="234"/>
        <v>-</v>
      </c>
      <c r="F1248" s="311"/>
      <c r="G1248" s="307" t="str">
        <f t="shared" si="235"/>
        <v>-</v>
      </c>
      <c r="H1248" s="351">
        <f t="shared" si="236"/>
        <v>0</v>
      </c>
      <c r="I1248" s="537" t="str">
        <f t="shared" si="237"/>
        <v>-</v>
      </c>
      <c r="J1248" s="538">
        <f t="shared" si="238"/>
        <v>0</v>
      </c>
      <c r="K1248" s="539" t="s">
        <v>2299</v>
      </c>
      <c r="L1248" s="20"/>
    </row>
    <row r="1249" spans="1:17">
      <c r="A1249" s="14" t="s">
        <v>31</v>
      </c>
      <c r="D1249" s="18">
        <v>9</v>
      </c>
      <c r="E1249" s="26" t="str">
        <f t="shared" si="234"/>
        <v>-</v>
      </c>
      <c r="F1249" s="311"/>
      <c r="G1249" s="307" t="str">
        <f t="shared" si="235"/>
        <v>-</v>
      </c>
      <c r="H1249" s="351">
        <f t="shared" si="236"/>
        <v>0</v>
      </c>
      <c r="I1249" s="537" t="str">
        <f t="shared" si="237"/>
        <v>-</v>
      </c>
      <c r="J1249" s="538">
        <f t="shared" si="238"/>
        <v>0</v>
      </c>
      <c r="K1249" s="539" t="s">
        <v>2299</v>
      </c>
      <c r="L1249" s="20"/>
    </row>
    <row r="1250" spans="1:17">
      <c r="A1250" s="14" t="s">
        <v>31</v>
      </c>
      <c r="D1250" s="18">
        <v>10</v>
      </c>
      <c r="E1250" s="26" t="str">
        <f t="shared" si="234"/>
        <v>-</v>
      </c>
      <c r="F1250" s="311"/>
      <c r="G1250" s="307" t="str">
        <f t="shared" si="235"/>
        <v>-</v>
      </c>
      <c r="H1250" s="351">
        <f t="shared" si="236"/>
        <v>0</v>
      </c>
      <c r="I1250" s="537" t="str">
        <f t="shared" si="237"/>
        <v>-</v>
      </c>
      <c r="J1250" s="538">
        <f t="shared" si="238"/>
        <v>0</v>
      </c>
      <c r="K1250" s="539" t="s">
        <v>2299</v>
      </c>
      <c r="L1250" s="20"/>
    </row>
    <row r="1251" spans="1:17">
      <c r="A1251" s="14" t="s">
        <v>31</v>
      </c>
      <c r="D1251" s="18">
        <v>11</v>
      </c>
      <c r="E1251" s="26" t="str">
        <f t="shared" si="234"/>
        <v>-</v>
      </c>
      <c r="F1251" s="311"/>
      <c r="G1251" s="307" t="str">
        <f t="shared" si="235"/>
        <v>-</v>
      </c>
      <c r="H1251" s="351">
        <f t="shared" si="236"/>
        <v>0</v>
      </c>
      <c r="I1251" s="537" t="str">
        <f t="shared" si="237"/>
        <v>-</v>
      </c>
      <c r="J1251" s="538">
        <f t="shared" si="238"/>
        <v>0</v>
      </c>
      <c r="K1251" s="539" t="s">
        <v>2299</v>
      </c>
      <c r="L1251" s="20"/>
    </row>
    <row r="1252" spans="1:17">
      <c r="A1252" s="14" t="s">
        <v>31</v>
      </c>
      <c r="D1252" s="18">
        <v>12</v>
      </c>
      <c r="E1252" s="26" t="str">
        <f t="shared" si="234"/>
        <v>-</v>
      </c>
      <c r="F1252" s="311"/>
      <c r="G1252" s="307" t="str">
        <f t="shared" si="235"/>
        <v>-</v>
      </c>
      <c r="H1252" s="352">
        <f t="shared" si="236"/>
        <v>0</v>
      </c>
      <c r="I1252" s="537" t="str">
        <f t="shared" si="237"/>
        <v>-</v>
      </c>
      <c r="J1252" s="538">
        <f t="shared" si="238"/>
        <v>0</v>
      </c>
      <c r="K1252" s="539" t="s">
        <v>2299</v>
      </c>
      <c r="L1252" s="20"/>
    </row>
    <row r="1253" spans="1:17">
      <c r="A1253" s="14" t="s">
        <v>31</v>
      </c>
      <c r="D1253" s="18">
        <v>13</v>
      </c>
      <c r="E1253" s="26" t="str">
        <f t="shared" si="234"/>
        <v>-</v>
      </c>
      <c r="F1253" s="311"/>
      <c r="G1253" s="307" t="str">
        <f t="shared" si="235"/>
        <v>-</v>
      </c>
      <c r="H1253" s="352">
        <f t="shared" si="236"/>
        <v>0</v>
      </c>
      <c r="I1253" s="537" t="str">
        <f t="shared" si="237"/>
        <v>-</v>
      </c>
      <c r="J1253" s="538">
        <f t="shared" si="238"/>
        <v>0</v>
      </c>
      <c r="K1253" s="539" t="s">
        <v>2299</v>
      </c>
      <c r="L1253" s="20"/>
    </row>
    <row r="1254" spans="1:17">
      <c r="A1254" s="14" t="s">
        <v>31</v>
      </c>
      <c r="D1254" s="18">
        <v>14</v>
      </c>
      <c r="E1254" s="26" t="str">
        <f t="shared" si="234"/>
        <v>-</v>
      </c>
      <c r="F1254" s="311"/>
      <c r="G1254" s="307" t="str">
        <f t="shared" si="235"/>
        <v>-</v>
      </c>
      <c r="H1254" s="352">
        <f t="shared" si="236"/>
        <v>0</v>
      </c>
      <c r="I1254" s="537" t="str">
        <f t="shared" si="237"/>
        <v>-</v>
      </c>
      <c r="J1254" s="538">
        <f t="shared" si="238"/>
        <v>0</v>
      </c>
      <c r="K1254" s="539" t="s">
        <v>2299</v>
      </c>
      <c r="L1254" s="20"/>
    </row>
    <row r="1255" spans="1:17">
      <c r="A1255" s="14" t="s">
        <v>31</v>
      </c>
      <c r="D1255" s="18">
        <v>15</v>
      </c>
      <c r="E1255" s="26" t="str">
        <f t="shared" si="234"/>
        <v>-</v>
      </c>
      <c r="F1255" s="311"/>
      <c r="G1255" s="307" t="str">
        <f t="shared" si="235"/>
        <v>-</v>
      </c>
      <c r="H1255" s="352">
        <f t="shared" si="236"/>
        <v>0</v>
      </c>
      <c r="I1255" s="537" t="str">
        <f t="shared" si="237"/>
        <v>-</v>
      </c>
      <c r="J1255" s="538">
        <f t="shared" si="238"/>
        <v>0</v>
      </c>
      <c r="K1255" s="539" t="s">
        <v>2299</v>
      </c>
      <c r="L1255" s="20"/>
    </row>
    <row r="1256" spans="1:17">
      <c r="A1256" s="14" t="s">
        <v>31</v>
      </c>
      <c r="D1256" s="18">
        <v>16</v>
      </c>
      <c r="E1256" s="26" t="str">
        <f t="shared" si="234"/>
        <v>-</v>
      </c>
      <c r="F1256" s="311"/>
      <c r="G1256" s="307" t="str">
        <f t="shared" si="235"/>
        <v>-</v>
      </c>
      <c r="H1256" s="352">
        <f t="shared" si="236"/>
        <v>0</v>
      </c>
      <c r="I1256" s="537" t="str">
        <f t="shared" si="237"/>
        <v>-</v>
      </c>
      <c r="J1256" s="538">
        <f t="shared" si="238"/>
        <v>0</v>
      </c>
      <c r="K1256" s="539" t="s">
        <v>2299</v>
      </c>
      <c r="L1256" s="20"/>
    </row>
    <row r="1257" spans="1:17">
      <c r="A1257" s="14" t="s">
        <v>31</v>
      </c>
      <c r="D1257" s="18">
        <v>17</v>
      </c>
      <c r="E1257" s="26" t="str">
        <f t="shared" si="234"/>
        <v>-</v>
      </c>
      <c r="F1257" s="311"/>
      <c r="G1257" s="307" t="str">
        <f t="shared" si="235"/>
        <v>-</v>
      </c>
      <c r="H1257" s="352">
        <f t="shared" si="236"/>
        <v>0</v>
      </c>
      <c r="I1257" s="537" t="str">
        <f t="shared" si="237"/>
        <v>-</v>
      </c>
      <c r="J1257" s="538">
        <f t="shared" si="238"/>
        <v>0</v>
      </c>
      <c r="K1257" s="539" t="s">
        <v>2299</v>
      </c>
      <c r="L1257" s="20"/>
    </row>
    <row r="1258" spans="1:17">
      <c r="A1258" s="14" t="s">
        <v>31</v>
      </c>
      <c r="D1258" s="18">
        <v>18</v>
      </c>
      <c r="E1258" s="26" t="str">
        <f t="shared" si="234"/>
        <v>-</v>
      </c>
      <c r="F1258" s="311"/>
      <c r="G1258" s="307" t="str">
        <f t="shared" si="235"/>
        <v>-</v>
      </c>
      <c r="H1258" s="352">
        <f t="shared" si="236"/>
        <v>0</v>
      </c>
      <c r="I1258" s="537" t="str">
        <f t="shared" si="237"/>
        <v>-</v>
      </c>
      <c r="J1258" s="538">
        <f t="shared" si="238"/>
        <v>0</v>
      </c>
      <c r="K1258" s="539" t="s">
        <v>2299</v>
      </c>
      <c r="L1258" s="20"/>
    </row>
    <row r="1259" spans="1:17">
      <c r="A1259" s="14" t="s">
        <v>31</v>
      </c>
      <c r="D1259" s="18">
        <v>19</v>
      </c>
      <c r="E1259" s="26" t="str">
        <f t="shared" si="234"/>
        <v>-</v>
      </c>
      <c r="F1259" s="311"/>
      <c r="G1259" s="307" t="str">
        <f t="shared" si="235"/>
        <v>-</v>
      </c>
      <c r="H1259" s="352">
        <f t="shared" si="236"/>
        <v>0</v>
      </c>
      <c r="I1259" s="537" t="str">
        <f t="shared" si="237"/>
        <v>-</v>
      </c>
      <c r="J1259" s="538">
        <f t="shared" si="238"/>
        <v>0</v>
      </c>
      <c r="K1259" s="539" t="s">
        <v>2299</v>
      </c>
      <c r="L1259" s="20"/>
    </row>
    <row r="1260" spans="1:17">
      <c r="A1260" s="14" t="s">
        <v>31</v>
      </c>
      <c r="D1260" s="18">
        <v>20</v>
      </c>
      <c r="E1260" s="26" t="str">
        <f t="shared" si="234"/>
        <v>-</v>
      </c>
      <c r="F1260" s="311"/>
      <c r="G1260" s="307" t="str">
        <f t="shared" si="235"/>
        <v>-</v>
      </c>
      <c r="H1260" s="352">
        <f t="shared" si="236"/>
        <v>0</v>
      </c>
      <c r="I1260" s="537" t="str">
        <f t="shared" si="237"/>
        <v>-</v>
      </c>
      <c r="J1260" s="541">
        <f t="shared" si="238"/>
        <v>0</v>
      </c>
      <c r="K1260" s="539" t="s">
        <v>2299</v>
      </c>
      <c r="L1260" s="20"/>
    </row>
    <row r="1261" spans="1:17">
      <c r="A1261" s="14">
        <f>A1228+1</f>
        <v>27</v>
      </c>
      <c r="B1261" s="14" t="str">
        <f>"MA" &amp; TEXT(A1261,"##000")</f>
        <v>MA027</v>
      </c>
      <c r="D1261" s="18"/>
      <c r="E1261" s="591" t="s">
        <v>2302</v>
      </c>
      <c r="F1261" s="592"/>
      <c r="G1261" s="592"/>
      <c r="H1261" s="592"/>
      <c r="I1261" s="327"/>
      <c r="J1261" s="353">
        <f>SUM(J1241:J1260)</f>
        <v>181.297</v>
      </c>
      <c r="K1261" s="365" t="str">
        <f>+F1238</f>
        <v>m2</v>
      </c>
      <c r="L1261" s="20"/>
      <c r="O1261" s="27" t="s">
        <v>1525</v>
      </c>
      <c r="P1261" s="110">
        <v>15</v>
      </c>
      <c r="Q1261" s="14" t="s">
        <v>2385</v>
      </c>
    </row>
    <row r="1262" spans="1:17">
      <c r="D1262" s="18"/>
      <c r="E1262" s="593" t="s">
        <v>100</v>
      </c>
      <c r="F1262" s="594"/>
      <c r="G1262" s="594"/>
      <c r="H1262" s="594"/>
      <c r="I1262" s="594"/>
      <c r="J1262" s="595"/>
      <c r="K1262" s="347"/>
      <c r="L1262" s="20"/>
      <c r="O1262" s="27" t="s">
        <v>1524</v>
      </c>
      <c r="P1262" s="110">
        <v>40</v>
      </c>
      <c r="Q1262" s="14" t="s">
        <v>2386</v>
      </c>
    </row>
    <row r="1263" spans="1:17">
      <c r="A1263" s="14" t="s">
        <v>84</v>
      </c>
      <c r="D1263" s="18">
        <v>1</v>
      </c>
      <c r="E1263" s="26" t="str">
        <f>VLOOKUP($A1263,MATMO,2,FALSE)</f>
        <v>Oficial</v>
      </c>
      <c r="F1263" s="311">
        <v>1.1000000000000001</v>
      </c>
      <c r="G1263" s="307" t="str">
        <f>VLOOKUP($A1263,MATMO,3,FALSE)</f>
        <v>hs</v>
      </c>
      <c r="H1263" s="110">
        <f>VLOOKUP($A1263,MATMO,4,FALSE)*$Q$7</f>
        <v>55.38</v>
      </c>
      <c r="I1263" s="354" t="str">
        <f t="shared" ref="I1263:I1267" si="239">+G1263</f>
        <v>hs</v>
      </c>
      <c r="J1263" s="350">
        <f t="shared" ref="J1263:J1267" si="240">+H1263*F1263</f>
        <v>60.918000000000006</v>
      </c>
      <c r="K1263" s="360" t="s">
        <v>2299</v>
      </c>
      <c r="L1263" s="20"/>
      <c r="M1263" s="14" t="s">
        <v>2006</v>
      </c>
      <c r="O1263" s="27" t="s">
        <v>1526</v>
      </c>
      <c r="P1263" s="110">
        <v>10</v>
      </c>
      <c r="Q1263" s="14" t="s">
        <v>2387</v>
      </c>
    </row>
    <row r="1264" spans="1:17">
      <c r="A1264" s="14" t="s">
        <v>85</v>
      </c>
      <c r="D1264" s="18">
        <v>2</v>
      </c>
      <c r="E1264" s="26" t="str">
        <f>VLOOKUP($A1264,MATMO,2,FALSE)</f>
        <v>Ayudante</v>
      </c>
      <c r="F1264" s="311">
        <v>0.5</v>
      </c>
      <c r="G1264" s="307" t="str">
        <f>VLOOKUP($A1264,MATMO,3,FALSE)</f>
        <v>hs</v>
      </c>
      <c r="H1264" s="110">
        <f>VLOOKUP($A1264,MATMO,4,FALSE)*$Q$7</f>
        <v>46.87</v>
      </c>
      <c r="I1264" s="354" t="str">
        <f t="shared" si="239"/>
        <v>hs</v>
      </c>
      <c r="J1264" s="350">
        <f t="shared" si="240"/>
        <v>23.434999999999999</v>
      </c>
      <c r="K1264" s="360" t="s">
        <v>2299</v>
      </c>
      <c r="L1264" s="20"/>
      <c r="O1264" s="27" t="s">
        <v>1527</v>
      </c>
      <c r="P1264" s="110">
        <v>20</v>
      </c>
      <c r="Q1264" s="14" t="s">
        <v>2388</v>
      </c>
    </row>
    <row r="1265" spans="1:19">
      <c r="A1265" s="14" t="s">
        <v>2311</v>
      </c>
      <c r="D1265" s="18">
        <v>3</v>
      </c>
      <c r="E1265" s="26" t="str">
        <f>VLOOKUP($A1265,MATMO,2,FALSE)</f>
        <v>Cargas Sociales Oficial</v>
      </c>
      <c r="F1265" s="311">
        <f>+F1263</f>
        <v>1.1000000000000001</v>
      </c>
      <c r="G1265" s="307" t="str">
        <f>VLOOKUP($A1265,MATMO,3,FALSE)</f>
        <v>hs</v>
      </c>
      <c r="H1265" s="110">
        <f>VLOOKUP($A1265,MATMO,4,FALSE)*$Q$7</f>
        <v>52.742782499999997</v>
      </c>
      <c r="I1265" s="354" t="str">
        <f t="shared" si="239"/>
        <v>hs</v>
      </c>
      <c r="J1265" s="350">
        <f t="shared" si="240"/>
        <v>58.017060749999999</v>
      </c>
      <c r="K1265" s="360" t="s">
        <v>2299</v>
      </c>
      <c r="L1265" s="20"/>
      <c r="O1265" s="27"/>
      <c r="P1265" s="110">
        <v>0</v>
      </c>
    </row>
    <row r="1266" spans="1:19">
      <c r="A1266" s="14" t="s">
        <v>2312</v>
      </c>
      <c r="D1266" s="18">
        <v>4</v>
      </c>
      <c r="E1266" s="26" t="str">
        <f>VLOOKUP($A1266,MATMO,2,FALSE)</f>
        <v>Cargas Sociales Ayudante</v>
      </c>
      <c r="F1266" s="311">
        <f>+F1264</f>
        <v>0.5</v>
      </c>
      <c r="G1266" s="307" t="str">
        <f>VLOOKUP($A1266,MATMO,3,FALSE)</f>
        <v>hs</v>
      </c>
      <c r="H1266" s="110">
        <f>VLOOKUP($A1266,MATMO,4,FALSE)*$Q$7</f>
        <v>45.108248750000001</v>
      </c>
      <c r="I1266" s="354" t="str">
        <f t="shared" si="239"/>
        <v>hs</v>
      </c>
      <c r="J1266" s="350">
        <f t="shared" si="240"/>
        <v>22.554124375000001</v>
      </c>
      <c r="K1266" s="360" t="s">
        <v>2299</v>
      </c>
      <c r="L1266" s="20"/>
      <c r="O1266" s="27"/>
      <c r="P1266" s="110">
        <v>0</v>
      </c>
    </row>
    <row r="1267" spans="1:19" ht="16.5" thickBot="1">
      <c r="A1267" s="14" t="s">
        <v>83</v>
      </c>
      <c r="D1267" s="18">
        <v>5</v>
      </c>
      <c r="E1267" s="26" t="str">
        <f>VLOOKUP($A1267,MATMO,2,FALSE)</f>
        <v>-</v>
      </c>
      <c r="F1267" s="311"/>
      <c r="G1267" s="307" t="str">
        <f>VLOOKUP($A1267,MATMO,3,FALSE)</f>
        <v>-</v>
      </c>
      <c r="H1267" s="110">
        <f>VLOOKUP($A1267,MATMO,4,FALSE)*$Q$7</f>
        <v>0</v>
      </c>
      <c r="I1267" s="537" t="str">
        <f t="shared" si="239"/>
        <v>-</v>
      </c>
      <c r="J1267" s="538">
        <f t="shared" si="240"/>
        <v>0</v>
      </c>
      <c r="K1267" s="539" t="s">
        <v>2299</v>
      </c>
      <c r="L1267" s="20"/>
      <c r="O1267" s="27"/>
      <c r="P1267" s="110">
        <v>0</v>
      </c>
      <c r="R1267" s="29" t="s">
        <v>2307</v>
      </c>
    </row>
    <row r="1268" spans="1:19" ht="16.5" thickBot="1">
      <c r="A1268" s="14">
        <f>A1228+1</f>
        <v>27</v>
      </c>
      <c r="B1268" s="14" t="str">
        <f>"MO" &amp; TEXT(A1268,"##000")</f>
        <v>MO027</v>
      </c>
      <c r="D1268" s="18"/>
      <c r="E1268" s="591" t="s">
        <v>2301</v>
      </c>
      <c r="F1268" s="592"/>
      <c r="G1268" s="592"/>
      <c r="H1268" s="592"/>
      <c r="I1268" s="327"/>
      <c r="J1268" s="362">
        <f>SUM(J1263:J1267)</f>
        <v>164.92418512500001</v>
      </c>
      <c r="K1268" s="365" t="str">
        <f>+G1263</f>
        <v>hs</v>
      </c>
      <c r="L1268" s="20"/>
      <c r="N1268" s="111">
        <f>+P1268+R1268</f>
        <v>161.5</v>
      </c>
      <c r="O1268" s="27"/>
      <c r="P1268" s="27">
        <f>SUM(P1261:P1267)</f>
        <v>85</v>
      </c>
      <c r="Q1268" s="26">
        <v>0.9</v>
      </c>
      <c r="R1268" s="287">
        <f>+Q1268*P1268</f>
        <v>76.5</v>
      </c>
      <c r="S1268" s="288"/>
    </row>
    <row r="1269" spans="1:19">
      <c r="D1269" s="18"/>
      <c r="E1269" s="593" t="s">
        <v>101</v>
      </c>
      <c r="F1269" s="594"/>
      <c r="G1269" s="594"/>
      <c r="H1269" s="594"/>
      <c r="I1269" s="594"/>
      <c r="J1269" s="595"/>
      <c r="K1269" s="347"/>
      <c r="L1269" s="20"/>
      <c r="P1269" s="14" t="s">
        <v>2308</v>
      </c>
    </row>
    <row r="1270" spans="1:19">
      <c r="A1270" s="14" t="s">
        <v>119</v>
      </c>
      <c r="D1270" s="18">
        <v>1</v>
      </c>
      <c r="E1270" s="26" t="str">
        <f>VLOOKUP($A1270,MATMO,2,FALSE)</f>
        <v>Herramientas de Mano</v>
      </c>
      <c r="F1270" s="311">
        <v>1</v>
      </c>
      <c r="G1270" s="307" t="str">
        <f>VLOOKUP($A1270,MATMO,3,FALSE)</f>
        <v>gl</v>
      </c>
      <c r="H1270" s="110">
        <f>+(J1261+J1268)*$Q$5</f>
        <v>13.848847405000001</v>
      </c>
      <c r="I1270" s="345" t="str">
        <f>+G1270</f>
        <v>gl</v>
      </c>
      <c r="J1270" s="350">
        <f t="shared" ref="J1270:J1274" si="241">+H1270*F1270</f>
        <v>13.848847405000001</v>
      </c>
      <c r="K1270" s="360" t="s">
        <v>2299</v>
      </c>
      <c r="L1270" s="20"/>
      <c r="M1270" s="14" t="s">
        <v>2004</v>
      </c>
    </row>
    <row r="1271" spans="1:19">
      <c r="A1271" s="14" t="s">
        <v>2389</v>
      </c>
      <c r="D1271" s="18">
        <v>2</v>
      </c>
      <c r="E1271" s="26" t="str">
        <f>VLOOKUP($A1271,MATMO,2,FALSE)</f>
        <v>Hormigonera</v>
      </c>
      <c r="F1271" s="311">
        <v>0.1</v>
      </c>
      <c r="G1271" s="307" t="str">
        <f>VLOOKUP($A1271,MATMO,3,FALSE)</f>
        <v>hs</v>
      </c>
      <c r="H1271" s="110">
        <f>VLOOKUP($A1271,MATMO,4,FALSE)*$Q$6</f>
        <v>301.3085399449036</v>
      </c>
      <c r="I1271" s="345" t="str">
        <f t="shared" ref="I1271:I1274" si="242">+G1271</f>
        <v>hs</v>
      </c>
      <c r="J1271" s="350">
        <f t="shared" si="241"/>
        <v>30.130853994490362</v>
      </c>
      <c r="K1271" s="360" t="s">
        <v>2299</v>
      </c>
      <c r="L1271" s="20"/>
    </row>
    <row r="1272" spans="1:19">
      <c r="A1272" s="14" t="s">
        <v>2361</v>
      </c>
      <c r="D1272" s="18">
        <v>3</v>
      </c>
      <c r="E1272" s="26" t="str">
        <f>VLOOKUP($A1272,MATMO,2,FALSE)</f>
        <v>Retroexcavadora</v>
      </c>
      <c r="F1272" s="311">
        <v>0.05</v>
      </c>
      <c r="G1272" s="307" t="str">
        <f>VLOOKUP($A1272,MATMO,3,FALSE)</f>
        <v>hs</v>
      </c>
      <c r="H1272" s="110">
        <f>VLOOKUP($A1272,MATMO,4,FALSE)*$Q$6</f>
        <v>450</v>
      </c>
      <c r="I1272" s="345" t="str">
        <f t="shared" si="242"/>
        <v>hs</v>
      </c>
      <c r="J1272" s="350">
        <f t="shared" si="241"/>
        <v>22.5</v>
      </c>
      <c r="K1272" s="360" t="s">
        <v>2299</v>
      </c>
      <c r="L1272" s="20"/>
    </row>
    <row r="1273" spans="1:19">
      <c r="A1273" s="14" t="s">
        <v>118</v>
      </c>
      <c r="D1273" s="18">
        <v>4</v>
      </c>
      <c r="E1273" s="26" t="str">
        <f>VLOOKUP($A1273,MATMO,2,FALSE)</f>
        <v>-</v>
      </c>
      <c r="F1273" s="311"/>
      <c r="G1273" s="307" t="str">
        <f>VLOOKUP($A1273,MATMO,3,FALSE)</f>
        <v>-</v>
      </c>
      <c r="H1273" s="110">
        <f>VLOOKUP($A1273,MATMO,4,FALSE)*$Q$6</f>
        <v>0</v>
      </c>
      <c r="I1273" s="543" t="str">
        <f t="shared" si="242"/>
        <v>-</v>
      </c>
      <c r="J1273" s="538">
        <f t="shared" si="241"/>
        <v>0</v>
      </c>
      <c r="K1273" s="539" t="s">
        <v>2299</v>
      </c>
      <c r="L1273" s="20"/>
    </row>
    <row r="1274" spans="1:19">
      <c r="A1274" s="14" t="s">
        <v>118</v>
      </c>
      <c r="D1274" s="18">
        <v>5</v>
      </c>
      <c r="E1274" s="26" t="str">
        <f>VLOOKUP($A1274,MATMO,2,FALSE)</f>
        <v>-</v>
      </c>
      <c r="F1274" s="311"/>
      <c r="G1274" s="307" t="str">
        <f>VLOOKUP($A1274,MATMO,3,FALSE)</f>
        <v>-</v>
      </c>
      <c r="H1274" s="110">
        <f>VLOOKUP($A1274,MATMO,4,FALSE)*$Q$6</f>
        <v>0</v>
      </c>
      <c r="I1274" s="543" t="str">
        <f t="shared" si="242"/>
        <v>-</v>
      </c>
      <c r="J1274" s="538">
        <f t="shared" si="241"/>
        <v>0</v>
      </c>
      <c r="K1274" s="539" t="s">
        <v>2299</v>
      </c>
      <c r="L1274" s="20"/>
    </row>
    <row r="1275" spans="1:19">
      <c r="A1275" s="14">
        <f>A1228+1</f>
        <v>27</v>
      </c>
      <c r="B1275" s="14" t="str">
        <f>"E" &amp; TEXT(A1275,"##000")</f>
        <v>E027</v>
      </c>
      <c r="D1275" s="18"/>
      <c r="E1275" s="591" t="s">
        <v>2300</v>
      </c>
      <c r="F1275" s="592"/>
      <c r="G1275" s="592"/>
      <c r="H1275" s="592"/>
      <c r="I1275" s="327"/>
      <c r="J1275" s="362">
        <f>SUM(J1270:J1274)</f>
        <v>66.479701399490366</v>
      </c>
      <c r="K1275" s="365" t="s">
        <v>116</v>
      </c>
      <c r="L1275" s="20"/>
    </row>
    <row r="1276" spans="1:19">
      <c r="D1276" s="18"/>
      <c r="E1276" s="596"/>
      <c r="F1276" s="597"/>
      <c r="G1276" s="597"/>
      <c r="H1276" s="597"/>
      <c r="I1276" s="597"/>
      <c r="J1276" s="598"/>
      <c r="K1276" s="348"/>
      <c r="L1276" s="20"/>
    </row>
    <row r="1277" spans="1:19">
      <c r="D1277" s="18"/>
      <c r="E1277" s="591" t="s">
        <v>2306</v>
      </c>
      <c r="F1277" s="592"/>
      <c r="G1277" s="592"/>
      <c r="H1277" s="592"/>
      <c r="I1277" s="327"/>
      <c r="J1277" s="308">
        <f>+J1275+J1268+J1261</f>
        <v>412.70088652449033</v>
      </c>
      <c r="K1277" s="365" t="str">
        <f>+F1238</f>
        <v>m2</v>
      </c>
      <c r="L1277" s="20"/>
    </row>
    <row r="1278" spans="1:19">
      <c r="D1278" s="18"/>
      <c r="E1278" s="591" t="s">
        <v>2305</v>
      </c>
      <c r="F1278" s="592"/>
      <c r="G1278" s="592"/>
      <c r="H1278" s="592"/>
      <c r="I1278" s="406">
        <f>+$Q$9</f>
        <v>1.6902999999999999</v>
      </c>
      <c r="J1278" s="308">
        <f>+$Q$9*J1277</f>
        <v>697.58830849234596</v>
      </c>
      <c r="K1278" s="365" t="str">
        <f>+F1238</f>
        <v>m2</v>
      </c>
      <c r="L1278" s="20"/>
    </row>
    <row r="1279" spans="1:19">
      <c r="A1279" s="14">
        <f>A1232+1</f>
        <v>27</v>
      </c>
      <c r="B1279" s="14" t="str">
        <f>"TR" &amp; TEXT(A1279,"##000")</f>
        <v>TR027</v>
      </c>
      <c r="C1279" s="14">
        <f>+C1232+1</f>
        <v>27</v>
      </c>
      <c r="D1279" s="18"/>
      <c r="E1279" s="591" t="s">
        <v>2304</v>
      </c>
      <c r="F1279" s="592"/>
      <c r="G1279" s="592"/>
      <c r="H1279" s="592"/>
      <c r="I1279" s="327"/>
      <c r="J1279" s="308">
        <f>+J1278</f>
        <v>697.58830849234596</v>
      </c>
      <c r="K1279" s="365" t="str">
        <f>+F1238</f>
        <v>m2</v>
      </c>
      <c r="L1279" s="20"/>
    </row>
    <row r="1280" spans="1:19" ht="16.5" thickBot="1">
      <c r="D1280" s="21"/>
      <c r="E1280" s="30"/>
      <c r="F1280" s="30"/>
      <c r="G1280" s="30"/>
      <c r="H1280" s="30"/>
      <c r="I1280" s="30"/>
      <c r="J1280" s="30"/>
      <c r="K1280" s="349"/>
      <c r="L1280" s="22"/>
    </row>
    <row r="1281" spans="1:13" ht="16.5" thickTop="1">
      <c r="D1281" s="15"/>
      <c r="E1281" s="16"/>
      <c r="F1281" s="16"/>
      <c r="G1281" s="16"/>
      <c r="H1281" s="16"/>
      <c r="I1281" s="16"/>
      <c r="J1281" s="16"/>
      <c r="K1281" s="16"/>
      <c r="L1281" s="17"/>
    </row>
    <row r="1282" spans="1:13">
      <c r="A1282" s="14" t="s">
        <v>1846</v>
      </c>
      <c r="D1282" s="18"/>
      <c r="E1282" s="23" t="s">
        <v>95</v>
      </c>
      <c r="F1282" s="24" t="str">
        <f>VLOOKUP($A1282,DATRUB,3,FALSE)</f>
        <v>RUBRO VII:</v>
      </c>
      <c r="G1282" s="599" t="str">
        <f>VLOOKUP($A1282,DATRUB,4,FALSE)</f>
        <v>CONTRAPISOS, CARPETAS, PISOS, UMBRALES y ZÓCALOS,</v>
      </c>
      <c r="H1282" s="599"/>
      <c r="I1282" s="599"/>
      <c r="J1282" s="599"/>
      <c r="K1282" s="599"/>
      <c r="L1282" s="20"/>
    </row>
    <row r="1283" spans="1:13" ht="35.1" customHeight="1">
      <c r="A1283" s="14" t="s">
        <v>1848</v>
      </c>
      <c r="D1283" s="18"/>
      <c r="E1283" s="23" t="s">
        <v>96</v>
      </c>
      <c r="F1283" s="399">
        <f>VLOOKUP($A1283,DATRUB,3,FALSE)</f>
        <v>7.2</v>
      </c>
      <c r="G1283" s="599" t="str">
        <f>VLOOKUP($A1283,DATRUB,4,FALSE)</f>
        <v>Contrapiso Común Bajo Piso  (-e- 8cm.)</v>
      </c>
      <c r="H1283" s="599"/>
      <c r="I1283" s="599"/>
      <c r="J1283" s="599"/>
      <c r="K1283" s="599"/>
      <c r="L1283" s="20"/>
    </row>
    <row r="1284" spans="1:13" ht="35.1" customHeight="1">
      <c r="A1284" s="14" t="s">
        <v>1848</v>
      </c>
      <c r="D1284" s="18"/>
      <c r="E1284" s="23" t="s">
        <v>97</v>
      </c>
      <c r="F1284" s="399">
        <f>VLOOKUP($A1284,DATRUB,3,FALSE)</f>
        <v>7.2</v>
      </c>
      <c r="G1284" s="599" t="str">
        <f>VLOOKUP($A1284,DATRUB,4,FALSE)</f>
        <v>Contrapiso Común Bajo Piso  (-e- 8cm.)</v>
      </c>
      <c r="H1284" s="599"/>
      <c r="I1284" s="599"/>
      <c r="J1284" s="599"/>
      <c r="K1284" s="599"/>
      <c r="L1284" s="20"/>
    </row>
    <row r="1285" spans="1:13">
      <c r="D1285" s="18"/>
      <c r="E1285" s="23" t="s">
        <v>98</v>
      </c>
      <c r="F1285" s="24" t="str">
        <f>VLOOKUP($A1284,DATRUB,5,FALSE)</f>
        <v>m2</v>
      </c>
      <c r="G1285" s="600"/>
      <c r="H1285" s="600"/>
      <c r="I1285" s="600"/>
      <c r="J1285" s="600"/>
      <c r="K1285" s="600"/>
      <c r="L1285" s="20"/>
    </row>
    <row r="1286" spans="1:13">
      <c r="D1286" s="18"/>
      <c r="E1286" s="24" t="s">
        <v>1158</v>
      </c>
      <c r="F1286" s="25" t="s">
        <v>1250</v>
      </c>
      <c r="G1286" s="24" t="s">
        <v>24</v>
      </c>
      <c r="H1286" s="24" t="s">
        <v>25</v>
      </c>
      <c r="I1286" s="24" t="s">
        <v>24</v>
      </c>
      <c r="J1286" s="24" t="s">
        <v>2298</v>
      </c>
      <c r="K1286" s="24" t="s">
        <v>24</v>
      </c>
      <c r="L1286" s="20"/>
    </row>
    <row r="1287" spans="1:13">
      <c r="D1287" s="18"/>
      <c r="E1287" s="593" t="s">
        <v>99</v>
      </c>
      <c r="F1287" s="594"/>
      <c r="G1287" s="594"/>
      <c r="H1287" s="594"/>
      <c r="I1287" s="594"/>
      <c r="J1287" s="594"/>
      <c r="K1287" s="595"/>
      <c r="L1287" s="20"/>
    </row>
    <row r="1288" spans="1:13">
      <c r="A1288" s="14" t="s">
        <v>2433</v>
      </c>
      <c r="D1288" s="18">
        <v>1</v>
      </c>
      <c r="E1288" s="355" t="str">
        <f t="shared" ref="E1288:E1307" si="243">VLOOKUP($A1288,MATMO,2,FALSE)</f>
        <v>Hormigón Elaborado 4</v>
      </c>
      <c r="F1288" s="356">
        <v>0.1</v>
      </c>
      <c r="G1288" s="357" t="str">
        <f t="shared" ref="G1288:G1307" si="244">VLOOKUP($A1288,MATMO,3,FALSE)</f>
        <v>m³</v>
      </c>
      <c r="H1288" s="358">
        <f t="shared" ref="H1288:H1307" si="245">VLOOKUP($A1288,MATMO,4,FALSE)*$Q$6</f>
        <v>1421</v>
      </c>
      <c r="I1288" s="359" t="str">
        <f t="shared" ref="I1288:I1307" si="246">+G1288</f>
        <v>m³</v>
      </c>
      <c r="J1288" s="361">
        <f>+H1288*F1288</f>
        <v>142.1</v>
      </c>
      <c r="K1288" s="360" t="s">
        <v>2299</v>
      </c>
      <c r="L1288" s="20"/>
      <c r="M1288" s="14" t="s">
        <v>2005</v>
      </c>
    </row>
    <row r="1289" spans="1:13">
      <c r="A1289" s="14" t="s">
        <v>2376</v>
      </c>
      <c r="D1289" s="18">
        <v>2</v>
      </c>
      <c r="E1289" s="26" t="str">
        <f t="shared" si="243"/>
        <v>Reglas Metálicas/Madera</v>
      </c>
      <c r="F1289" s="311">
        <v>0.5</v>
      </c>
      <c r="G1289" s="307" t="str">
        <f t="shared" si="244"/>
        <v>gl</v>
      </c>
      <c r="H1289" s="351">
        <f t="shared" si="245"/>
        <v>10</v>
      </c>
      <c r="I1289" s="354" t="str">
        <f t="shared" si="246"/>
        <v>gl</v>
      </c>
      <c r="J1289" s="350">
        <f t="shared" ref="J1289:J1307" si="247">+H1289*F1289</f>
        <v>5</v>
      </c>
      <c r="K1289" s="360" t="s">
        <v>2299</v>
      </c>
      <c r="L1289" s="20"/>
    </row>
    <row r="1290" spans="1:13">
      <c r="A1290" s="14" t="s">
        <v>2369</v>
      </c>
      <c r="D1290" s="18">
        <v>3</v>
      </c>
      <c r="E1290" s="26" t="str">
        <f t="shared" si="243"/>
        <v>Hierro</v>
      </c>
      <c r="F1290" s="311">
        <v>6</v>
      </c>
      <c r="G1290" s="307" t="str">
        <f t="shared" si="244"/>
        <v>kg</v>
      </c>
      <c r="H1290" s="351">
        <f t="shared" si="245"/>
        <v>15.588335288624991</v>
      </c>
      <c r="I1290" s="354" t="str">
        <f t="shared" si="246"/>
        <v>kg</v>
      </c>
      <c r="J1290" s="350">
        <f t="shared" si="247"/>
        <v>93.530011731749951</v>
      </c>
      <c r="K1290" s="360" t="s">
        <v>2299</v>
      </c>
      <c r="L1290" s="20"/>
    </row>
    <row r="1291" spans="1:13">
      <c r="A1291" s="14" t="s">
        <v>2370</v>
      </c>
      <c r="D1291" s="18">
        <v>4</v>
      </c>
      <c r="E1291" s="26" t="str">
        <f t="shared" si="243"/>
        <v>Encofrado</v>
      </c>
      <c r="F1291" s="311">
        <v>0.1</v>
      </c>
      <c r="G1291" s="307" t="str">
        <f t="shared" si="244"/>
        <v>m²</v>
      </c>
      <c r="H1291" s="351">
        <f t="shared" si="245"/>
        <v>380</v>
      </c>
      <c r="I1291" s="354" t="str">
        <f t="shared" si="246"/>
        <v>m²</v>
      </c>
      <c r="J1291" s="350">
        <f t="shared" si="247"/>
        <v>38</v>
      </c>
      <c r="K1291" s="360" t="s">
        <v>2299</v>
      </c>
      <c r="L1291" s="20"/>
    </row>
    <row r="1292" spans="1:13">
      <c r="A1292" s="14" t="s">
        <v>31</v>
      </c>
      <c r="D1292" s="18">
        <v>5</v>
      </c>
      <c r="E1292" s="26" t="str">
        <f t="shared" si="243"/>
        <v>-</v>
      </c>
      <c r="F1292" s="311"/>
      <c r="G1292" s="307" t="str">
        <f t="shared" si="244"/>
        <v>-</v>
      </c>
      <c r="H1292" s="351">
        <f t="shared" si="245"/>
        <v>0</v>
      </c>
      <c r="I1292" s="537" t="str">
        <f t="shared" si="246"/>
        <v>-</v>
      </c>
      <c r="J1292" s="538">
        <f t="shared" si="247"/>
        <v>0</v>
      </c>
      <c r="K1292" s="539" t="s">
        <v>2299</v>
      </c>
      <c r="L1292" s="20"/>
    </row>
    <row r="1293" spans="1:13">
      <c r="A1293" s="14" t="s">
        <v>31</v>
      </c>
      <c r="D1293" s="18">
        <v>6</v>
      </c>
      <c r="E1293" s="26" t="str">
        <f t="shared" si="243"/>
        <v>-</v>
      </c>
      <c r="F1293" s="311"/>
      <c r="G1293" s="307" t="str">
        <f t="shared" si="244"/>
        <v>-</v>
      </c>
      <c r="H1293" s="351">
        <f t="shared" si="245"/>
        <v>0</v>
      </c>
      <c r="I1293" s="537" t="str">
        <f t="shared" si="246"/>
        <v>-</v>
      </c>
      <c r="J1293" s="538">
        <f t="shared" si="247"/>
        <v>0</v>
      </c>
      <c r="K1293" s="539" t="s">
        <v>2299</v>
      </c>
      <c r="L1293" s="20"/>
    </row>
    <row r="1294" spans="1:13">
      <c r="A1294" s="14" t="s">
        <v>31</v>
      </c>
      <c r="D1294" s="18">
        <v>7</v>
      </c>
      <c r="E1294" s="26" t="str">
        <f t="shared" si="243"/>
        <v>-</v>
      </c>
      <c r="F1294" s="311"/>
      <c r="G1294" s="307" t="str">
        <f t="shared" si="244"/>
        <v>-</v>
      </c>
      <c r="H1294" s="351">
        <f t="shared" si="245"/>
        <v>0</v>
      </c>
      <c r="I1294" s="537" t="str">
        <f t="shared" si="246"/>
        <v>-</v>
      </c>
      <c r="J1294" s="538">
        <f t="shared" si="247"/>
        <v>0</v>
      </c>
      <c r="K1294" s="539" t="s">
        <v>2299</v>
      </c>
      <c r="L1294" s="20"/>
    </row>
    <row r="1295" spans="1:13">
      <c r="A1295" s="14" t="s">
        <v>31</v>
      </c>
      <c r="D1295" s="18">
        <v>8</v>
      </c>
      <c r="E1295" s="26" t="str">
        <f t="shared" si="243"/>
        <v>-</v>
      </c>
      <c r="F1295" s="311"/>
      <c r="G1295" s="307" t="str">
        <f t="shared" si="244"/>
        <v>-</v>
      </c>
      <c r="H1295" s="351">
        <f t="shared" si="245"/>
        <v>0</v>
      </c>
      <c r="I1295" s="537" t="str">
        <f t="shared" si="246"/>
        <v>-</v>
      </c>
      <c r="J1295" s="538">
        <f t="shared" si="247"/>
        <v>0</v>
      </c>
      <c r="K1295" s="539" t="s">
        <v>2299</v>
      </c>
      <c r="L1295" s="20"/>
    </row>
    <row r="1296" spans="1:13">
      <c r="A1296" s="14" t="s">
        <v>31</v>
      </c>
      <c r="D1296" s="18">
        <v>9</v>
      </c>
      <c r="E1296" s="26" t="str">
        <f t="shared" si="243"/>
        <v>-</v>
      </c>
      <c r="F1296" s="311"/>
      <c r="G1296" s="307" t="str">
        <f t="shared" si="244"/>
        <v>-</v>
      </c>
      <c r="H1296" s="351">
        <f t="shared" si="245"/>
        <v>0</v>
      </c>
      <c r="I1296" s="537" t="str">
        <f t="shared" si="246"/>
        <v>-</v>
      </c>
      <c r="J1296" s="538">
        <f t="shared" si="247"/>
        <v>0</v>
      </c>
      <c r="K1296" s="539" t="s">
        <v>2299</v>
      </c>
      <c r="L1296" s="20"/>
    </row>
    <row r="1297" spans="1:16">
      <c r="A1297" s="14" t="s">
        <v>31</v>
      </c>
      <c r="D1297" s="18">
        <v>10</v>
      </c>
      <c r="E1297" s="26" t="str">
        <f t="shared" si="243"/>
        <v>-</v>
      </c>
      <c r="F1297" s="311"/>
      <c r="G1297" s="307" t="str">
        <f t="shared" si="244"/>
        <v>-</v>
      </c>
      <c r="H1297" s="351">
        <f t="shared" si="245"/>
        <v>0</v>
      </c>
      <c r="I1297" s="537" t="str">
        <f t="shared" si="246"/>
        <v>-</v>
      </c>
      <c r="J1297" s="538">
        <f t="shared" si="247"/>
        <v>0</v>
      </c>
      <c r="K1297" s="539" t="s">
        <v>2299</v>
      </c>
      <c r="L1297" s="20"/>
    </row>
    <row r="1298" spans="1:16">
      <c r="A1298" s="14" t="s">
        <v>31</v>
      </c>
      <c r="D1298" s="18">
        <v>11</v>
      </c>
      <c r="E1298" s="26" t="str">
        <f t="shared" si="243"/>
        <v>-</v>
      </c>
      <c r="F1298" s="311"/>
      <c r="G1298" s="307" t="str">
        <f t="shared" si="244"/>
        <v>-</v>
      </c>
      <c r="H1298" s="351">
        <f t="shared" si="245"/>
        <v>0</v>
      </c>
      <c r="I1298" s="537" t="str">
        <f t="shared" si="246"/>
        <v>-</v>
      </c>
      <c r="J1298" s="538">
        <f t="shared" si="247"/>
        <v>0</v>
      </c>
      <c r="K1298" s="539" t="s">
        <v>2299</v>
      </c>
      <c r="L1298" s="20"/>
    </row>
    <row r="1299" spans="1:16">
      <c r="A1299" s="14" t="s">
        <v>31</v>
      </c>
      <c r="D1299" s="18">
        <v>12</v>
      </c>
      <c r="E1299" s="26" t="str">
        <f t="shared" si="243"/>
        <v>-</v>
      </c>
      <c r="F1299" s="311"/>
      <c r="G1299" s="307" t="str">
        <f t="shared" si="244"/>
        <v>-</v>
      </c>
      <c r="H1299" s="352">
        <f t="shared" si="245"/>
        <v>0</v>
      </c>
      <c r="I1299" s="537" t="str">
        <f t="shared" si="246"/>
        <v>-</v>
      </c>
      <c r="J1299" s="538">
        <f t="shared" si="247"/>
        <v>0</v>
      </c>
      <c r="K1299" s="539" t="s">
        <v>2299</v>
      </c>
      <c r="L1299" s="20"/>
    </row>
    <row r="1300" spans="1:16">
      <c r="A1300" s="14" t="s">
        <v>31</v>
      </c>
      <c r="D1300" s="18">
        <v>13</v>
      </c>
      <c r="E1300" s="26" t="str">
        <f t="shared" si="243"/>
        <v>-</v>
      </c>
      <c r="F1300" s="311"/>
      <c r="G1300" s="307" t="str">
        <f t="shared" si="244"/>
        <v>-</v>
      </c>
      <c r="H1300" s="352">
        <f t="shared" si="245"/>
        <v>0</v>
      </c>
      <c r="I1300" s="537" t="str">
        <f t="shared" si="246"/>
        <v>-</v>
      </c>
      <c r="J1300" s="538">
        <f t="shared" si="247"/>
        <v>0</v>
      </c>
      <c r="K1300" s="539" t="s">
        <v>2299</v>
      </c>
      <c r="L1300" s="20"/>
    </row>
    <row r="1301" spans="1:16">
      <c r="A1301" s="14" t="s">
        <v>31</v>
      </c>
      <c r="D1301" s="18">
        <v>14</v>
      </c>
      <c r="E1301" s="26" t="str">
        <f t="shared" si="243"/>
        <v>-</v>
      </c>
      <c r="F1301" s="311"/>
      <c r="G1301" s="307" t="str">
        <f t="shared" si="244"/>
        <v>-</v>
      </c>
      <c r="H1301" s="352">
        <f t="shared" si="245"/>
        <v>0</v>
      </c>
      <c r="I1301" s="537" t="str">
        <f t="shared" si="246"/>
        <v>-</v>
      </c>
      <c r="J1301" s="538">
        <f t="shared" si="247"/>
        <v>0</v>
      </c>
      <c r="K1301" s="539" t="s">
        <v>2299</v>
      </c>
      <c r="L1301" s="20"/>
    </row>
    <row r="1302" spans="1:16">
      <c r="A1302" s="14" t="s">
        <v>31</v>
      </c>
      <c r="D1302" s="18">
        <v>15</v>
      </c>
      <c r="E1302" s="26" t="str">
        <f t="shared" si="243"/>
        <v>-</v>
      </c>
      <c r="F1302" s="311"/>
      <c r="G1302" s="307" t="str">
        <f t="shared" si="244"/>
        <v>-</v>
      </c>
      <c r="H1302" s="352">
        <f t="shared" si="245"/>
        <v>0</v>
      </c>
      <c r="I1302" s="537" t="str">
        <f t="shared" si="246"/>
        <v>-</v>
      </c>
      <c r="J1302" s="538">
        <f t="shared" si="247"/>
        <v>0</v>
      </c>
      <c r="K1302" s="539" t="s">
        <v>2299</v>
      </c>
      <c r="L1302" s="20"/>
    </row>
    <row r="1303" spans="1:16">
      <c r="A1303" s="14" t="s">
        <v>31</v>
      </c>
      <c r="D1303" s="18">
        <v>16</v>
      </c>
      <c r="E1303" s="26" t="str">
        <f t="shared" si="243"/>
        <v>-</v>
      </c>
      <c r="F1303" s="311"/>
      <c r="G1303" s="307" t="str">
        <f t="shared" si="244"/>
        <v>-</v>
      </c>
      <c r="H1303" s="352">
        <f t="shared" si="245"/>
        <v>0</v>
      </c>
      <c r="I1303" s="537" t="str">
        <f t="shared" si="246"/>
        <v>-</v>
      </c>
      <c r="J1303" s="538">
        <f t="shared" si="247"/>
        <v>0</v>
      </c>
      <c r="K1303" s="539" t="s">
        <v>2299</v>
      </c>
      <c r="L1303" s="20"/>
    </row>
    <row r="1304" spans="1:16">
      <c r="A1304" s="14" t="s">
        <v>31</v>
      </c>
      <c r="D1304" s="18">
        <v>17</v>
      </c>
      <c r="E1304" s="26" t="str">
        <f t="shared" si="243"/>
        <v>-</v>
      </c>
      <c r="F1304" s="311"/>
      <c r="G1304" s="307" t="str">
        <f t="shared" si="244"/>
        <v>-</v>
      </c>
      <c r="H1304" s="352">
        <f t="shared" si="245"/>
        <v>0</v>
      </c>
      <c r="I1304" s="537" t="str">
        <f t="shared" si="246"/>
        <v>-</v>
      </c>
      <c r="J1304" s="538">
        <f t="shared" si="247"/>
        <v>0</v>
      </c>
      <c r="K1304" s="539" t="s">
        <v>2299</v>
      </c>
      <c r="L1304" s="20"/>
    </row>
    <row r="1305" spans="1:16">
      <c r="A1305" s="14" t="s">
        <v>31</v>
      </c>
      <c r="D1305" s="18">
        <v>18</v>
      </c>
      <c r="E1305" s="26" t="str">
        <f t="shared" si="243"/>
        <v>-</v>
      </c>
      <c r="F1305" s="311"/>
      <c r="G1305" s="307" t="str">
        <f t="shared" si="244"/>
        <v>-</v>
      </c>
      <c r="H1305" s="352">
        <f t="shared" si="245"/>
        <v>0</v>
      </c>
      <c r="I1305" s="537" t="str">
        <f t="shared" si="246"/>
        <v>-</v>
      </c>
      <c r="J1305" s="538">
        <f t="shared" si="247"/>
        <v>0</v>
      </c>
      <c r="K1305" s="539" t="s">
        <v>2299</v>
      </c>
      <c r="L1305" s="20"/>
    </row>
    <row r="1306" spans="1:16">
      <c r="A1306" s="14" t="s">
        <v>31</v>
      </c>
      <c r="D1306" s="18">
        <v>19</v>
      </c>
      <c r="E1306" s="26" t="str">
        <f t="shared" si="243"/>
        <v>-</v>
      </c>
      <c r="F1306" s="311"/>
      <c r="G1306" s="307" t="str">
        <f t="shared" si="244"/>
        <v>-</v>
      </c>
      <c r="H1306" s="352">
        <f t="shared" si="245"/>
        <v>0</v>
      </c>
      <c r="I1306" s="537" t="str">
        <f t="shared" si="246"/>
        <v>-</v>
      </c>
      <c r="J1306" s="538">
        <f t="shared" si="247"/>
        <v>0</v>
      </c>
      <c r="K1306" s="539" t="s">
        <v>2299</v>
      </c>
      <c r="L1306" s="20"/>
    </row>
    <row r="1307" spans="1:16">
      <c r="A1307" s="14" t="s">
        <v>31</v>
      </c>
      <c r="D1307" s="18">
        <v>20</v>
      </c>
      <c r="E1307" s="26" t="str">
        <f t="shared" si="243"/>
        <v>-</v>
      </c>
      <c r="F1307" s="311"/>
      <c r="G1307" s="307" t="str">
        <f t="shared" si="244"/>
        <v>-</v>
      </c>
      <c r="H1307" s="352">
        <f t="shared" si="245"/>
        <v>0</v>
      </c>
      <c r="I1307" s="537" t="str">
        <f t="shared" si="246"/>
        <v>-</v>
      </c>
      <c r="J1307" s="541">
        <f t="shared" si="247"/>
        <v>0</v>
      </c>
      <c r="K1307" s="539" t="s">
        <v>2299</v>
      </c>
      <c r="L1307" s="20"/>
    </row>
    <row r="1308" spans="1:16">
      <c r="A1308" s="14">
        <f>A1275+1</f>
        <v>28</v>
      </c>
      <c r="B1308" s="14" t="str">
        <f>"MA" &amp; TEXT(A1308,"##000")</f>
        <v>MA028</v>
      </c>
      <c r="D1308" s="18"/>
      <c r="E1308" s="591" t="s">
        <v>2302</v>
      </c>
      <c r="F1308" s="592"/>
      <c r="G1308" s="592"/>
      <c r="H1308" s="592"/>
      <c r="I1308" s="327"/>
      <c r="J1308" s="353">
        <f>SUM(J1288:J1307)</f>
        <v>278.63001173174996</v>
      </c>
      <c r="K1308" s="365" t="str">
        <f>+F1285</f>
        <v>m2</v>
      </c>
      <c r="L1308" s="20"/>
      <c r="O1308" s="27" t="s">
        <v>1525</v>
      </c>
      <c r="P1308" s="110">
        <v>45</v>
      </c>
    </row>
    <row r="1309" spans="1:16">
      <c r="D1309" s="18"/>
      <c r="E1309" s="593" t="s">
        <v>100</v>
      </c>
      <c r="F1309" s="594"/>
      <c r="G1309" s="594"/>
      <c r="H1309" s="594"/>
      <c r="I1309" s="594"/>
      <c r="J1309" s="595"/>
      <c r="K1309" s="347"/>
      <c r="L1309" s="20"/>
      <c r="O1309" s="27" t="s">
        <v>1524</v>
      </c>
      <c r="P1309" s="110">
        <v>0</v>
      </c>
    </row>
    <row r="1310" spans="1:16">
      <c r="A1310" s="14" t="s">
        <v>84</v>
      </c>
      <c r="D1310" s="18">
        <v>1</v>
      </c>
      <c r="E1310" s="26" t="str">
        <f>VLOOKUP($A1310,MATMO,2,FALSE)</f>
        <v>Oficial</v>
      </c>
      <c r="F1310" s="311">
        <v>0.6</v>
      </c>
      <c r="G1310" s="307" t="str">
        <f>VLOOKUP($A1310,MATMO,3,FALSE)</f>
        <v>hs</v>
      </c>
      <c r="H1310" s="110">
        <f>VLOOKUP($A1310,MATMO,4,FALSE)*$Q$7</f>
        <v>55.38</v>
      </c>
      <c r="I1310" s="354" t="str">
        <f t="shared" ref="I1310:I1314" si="248">+G1310</f>
        <v>hs</v>
      </c>
      <c r="J1310" s="350">
        <f t="shared" ref="J1310:J1314" si="249">+H1310*F1310</f>
        <v>33.228000000000002</v>
      </c>
      <c r="K1310" s="360" t="s">
        <v>2299</v>
      </c>
      <c r="L1310" s="20"/>
      <c r="M1310" s="14" t="s">
        <v>2006</v>
      </c>
      <c r="O1310" s="27" t="s">
        <v>1526</v>
      </c>
      <c r="P1310" s="110">
        <v>0</v>
      </c>
    </row>
    <row r="1311" spans="1:16">
      <c r="A1311" s="14" t="s">
        <v>85</v>
      </c>
      <c r="D1311" s="18">
        <v>2</v>
      </c>
      <c r="E1311" s="26" t="str">
        <f>VLOOKUP($A1311,MATMO,2,FALSE)</f>
        <v>Ayudante</v>
      </c>
      <c r="F1311" s="311">
        <v>0.23</v>
      </c>
      <c r="G1311" s="307" t="str">
        <f>VLOOKUP($A1311,MATMO,3,FALSE)</f>
        <v>hs</v>
      </c>
      <c r="H1311" s="110">
        <f>VLOOKUP($A1311,MATMO,4,FALSE)*$Q$7</f>
        <v>46.87</v>
      </c>
      <c r="I1311" s="354" t="str">
        <f t="shared" si="248"/>
        <v>hs</v>
      </c>
      <c r="J1311" s="350">
        <f t="shared" si="249"/>
        <v>10.780099999999999</v>
      </c>
      <c r="K1311" s="360" t="s">
        <v>2299</v>
      </c>
      <c r="L1311" s="20"/>
      <c r="O1311" s="27" t="s">
        <v>1527</v>
      </c>
      <c r="P1311" s="110">
        <v>0</v>
      </c>
    </row>
    <row r="1312" spans="1:16">
      <c r="A1312" s="14" t="s">
        <v>2311</v>
      </c>
      <c r="D1312" s="18">
        <v>3</v>
      </c>
      <c r="E1312" s="26" t="str">
        <f>VLOOKUP($A1312,MATMO,2,FALSE)</f>
        <v>Cargas Sociales Oficial</v>
      </c>
      <c r="F1312" s="311">
        <f>+F1310</f>
        <v>0.6</v>
      </c>
      <c r="G1312" s="307" t="str">
        <f>VLOOKUP($A1312,MATMO,3,FALSE)</f>
        <v>hs</v>
      </c>
      <c r="H1312" s="110">
        <f>VLOOKUP($A1312,MATMO,4,FALSE)*$Q$7</f>
        <v>52.742782499999997</v>
      </c>
      <c r="I1312" s="354" t="str">
        <f t="shared" si="248"/>
        <v>hs</v>
      </c>
      <c r="J1312" s="350">
        <f t="shared" si="249"/>
        <v>31.645669499999997</v>
      </c>
      <c r="K1312" s="360" t="s">
        <v>2299</v>
      </c>
      <c r="L1312" s="20"/>
      <c r="O1312" s="27"/>
      <c r="P1312" s="110">
        <v>0</v>
      </c>
    </row>
    <row r="1313" spans="1:19">
      <c r="A1313" s="14" t="s">
        <v>2312</v>
      </c>
      <c r="D1313" s="18">
        <v>4</v>
      </c>
      <c r="E1313" s="26" t="str">
        <f>VLOOKUP($A1313,MATMO,2,FALSE)</f>
        <v>Cargas Sociales Ayudante</v>
      </c>
      <c r="F1313" s="311">
        <f>+F1311</f>
        <v>0.23</v>
      </c>
      <c r="G1313" s="307" t="str">
        <f>VLOOKUP($A1313,MATMO,3,FALSE)</f>
        <v>hs</v>
      </c>
      <c r="H1313" s="110">
        <f>VLOOKUP($A1313,MATMO,4,FALSE)*$Q$7</f>
        <v>45.108248750000001</v>
      </c>
      <c r="I1313" s="354" t="str">
        <f t="shared" si="248"/>
        <v>hs</v>
      </c>
      <c r="J1313" s="350">
        <f t="shared" si="249"/>
        <v>10.374897212500001</v>
      </c>
      <c r="K1313" s="360" t="s">
        <v>2299</v>
      </c>
      <c r="L1313" s="20"/>
      <c r="O1313" s="27"/>
      <c r="P1313" s="110">
        <v>0</v>
      </c>
    </row>
    <row r="1314" spans="1:19" ht="16.5" thickBot="1">
      <c r="A1314" s="14" t="s">
        <v>83</v>
      </c>
      <c r="D1314" s="18">
        <v>5</v>
      </c>
      <c r="E1314" s="26" t="str">
        <f>VLOOKUP($A1314,MATMO,2,FALSE)</f>
        <v>-</v>
      </c>
      <c r="F1314" s="311"/>
      <c r="G1314" s="307" t="str">
        <f>VLOOKUP($A1314,MATMO,3,FALSE)</f>
        <v>-</v>
      </c>
      <c r="H1314" s="110">
        <f>VLOOKUP($A1314,MATMO,4,FALSE)*$Q$7</f>
        <v>0</v>
      </c>
      <c r="I1314" s="537" t="str">
        <f t="shared" si="248"/>
        <v>-</v>
      </c>
      <c r="J1314" s="538">
        <f t="shared" si="249"/>
        <v>0</v>
      </c>
      <c r="K1314" s="539" t="s">
        <v>2299</v>
      </c>
      <c r="L1314" s="20"/>
      <c r="O1314" s="27"/>
      <c r="P1314" s="110">
        <v>0</v>
      </c>
      <c r="R1314" s="29" t="s">
        <v>2307</v>
      </c>
    </row>
    <row r="1315" spans="1:19" ht="16.5" thickBot="1">
      <c r="A1315" s="14">
        <f>A1275+1</f>
        <v>28</v>
      </c>
      <c r="B1315" s="14" t="str">
        <f>"MO" &amp; TEXT(A1315,"##000")</f>
        <v>MO028</v>
      </c>
      <c r="D1315" s="18"/>
      <c r="E1315" s="591" t="s">
        <v>2301</v>
      </c>
      <c r="F1315" s="592"/>
      <c r="G1315" s="592"/>
      <c r="H1315" s="592"/>
      <c r="I1315" s="327"/>
      <c r="J1315" s="362">
        <f>SUM(J1310:J1314)</f>
        <v>86.028666712499998</v>
      </c>
      <c r="K1315" s="365" t="str">
        <f>+G1310</f>
        <v>hs</v>
      </c>
      <c r="L1315" s="20"/>
      <c r="N1315" s="111">
        <f>+P1315+R1315</f>
        <v>85.5</v>
      </c>
      <c r="O1315" s="27"/>
      <c r="P1315" s="27">
        <f>SUM(P1308:P1314)</f>
        <v>45</v>
      </c>
      <c r="Q1315" s="26">
        <v>0.9</v>
      </c>
      <c r="R1315" s="287">
        <f>+Q1315*P1315</f>
        <v>40.5</v>
      </c>
      <c r="S1315" s="288"/>
    </row>
    <row r="1316" spans="1:19">
      <c r="D1316" s="18"/>
      <c r="E1316" s="593" t="s">
        <v>101</v>
      </c>
      <c r="F1316" s="594"/>
      <c r="G1316" s="594"/>
      <c r="H1316" s="594"/>
      <c r="I1316" s="594"/>
      <c r="J1316" s="595"/>
      <c r="K1316" s="347"/>
      <c r="L1316" s="20"/>
      <c r="P1316" s="14" t="s">
        <v>2308</v>
      </c>
    </row>
    <row r="1317" spans="1:19">
      <c r="A1317" s="14" t="s">
        <v>119</v>
      </c>
      <c r="D1317" s="18">
        <v>1</v>
      </c>
      <c r="E1317" s="26" t="str">
        <f>VLOOKUP($A1317,MATMO,2,FALSE)</f>
        <v>Herramientas de Mano</v>
      </c>
      <c r="F1317" s="311">
        <v>1</v>
      </c>
      <c r="G1317" s="307" t="str">
        <f>VLOOKUP($A1317,MATMO,3,FALSE)</f>
        <v>gl</v>
      </c>
      <c r="H1317" s="110">
        <f>+(J1308+J1315)*$Q$5</f>
        <v>14.58634713777</v>
      </c>
      <c r="I1317" s="345" t="str">
        <f>+G1317</f>
        <v>gl</v>
      </c>
      <c r="J1317" s="350">
        <f t="shared" ref="J1317:J1321" si="250">+H1317*F1317</f>
        <v>14.58634713777</v>
      </c>
      <c r="K1317" s="360" t="s">
        <v>2299</v>
      </c>
      <c r="L1317" s="20"/>
      <c r="M1317" s="14" t="s">
        <v>2004</v>
      </c>
    </row>
    <row r="1318" spans="1:19">
      <c r="A1318" s="14" t="s">
        <v>2361</v>
      </c>
      <c r="D1318" s="18">
        <v>2</v>
      </c>
      <c r="E1318" s="26" t="str">
        <f>VLOOKUP($A1318,MATMO,2,FALSE)</f>
        <v>Retroexcavadora</v>
      </c>
      <c r="F1318" s="311">
        <v>0.05</v>
      </c>
      <c r="G1318" s="307" t="str">
        <f>VLOOKUP($A1318,MATMO,3,FALSE)</f>
        <v>hs</v>
      </c>
      <c r="H1318" s="110">
        <f>VLOOKUP($A1318,MATMO,4,FALSE)*$Q$6</f>
        <v>450</v>
      </c>
      <c r="I1318" s="345" t="str">
        <f t="shared" ref="I1318:I1321" si="251">+G1318</f>
        <v>hs</v>
      </c>
      <c r="J1318" s="350">
        <f t="shared" si="250"/>
        <v>22.5</v>
      </c>
      <c r="K1318" s="360" t="s">
        <v>2299</v>
      </c>
      <c r="L1318" s="20"/>
    </row>
    <row r="1319" spans="1:19">
      <c r="A1319" s="14" t="s">
        <v>118</v>
      </c>
      <c r="D1319" s="18">
        <v>3</v>
      </c>
      <c r="E1319" s="26" t="str">
        <f>VLOOKUP($A1319,MATMO,2,FALSE)</f>
        <v>-</v>
      </c>
      <c r="F1319" s="311"/>
      <c r="G1319" s="307" t="str">
        <f>VLOOKUP($A1319,MATMO,3,FALSE)</f>
        <v>-</v>
      </c>
      <c r="H1319" s="110">
        <f>VLOOKUP($A1319,MATMO,4,FALSE)*$Q$6</f>
        <v>0</v>
      </c>
      <c r="I1319" s="543" t="str">
        <f t="shared" si="251"/>
        <v>-</v>
      </c>
      <c r="J1319" s="538">
        <f t="shared" si="250"/>
        <v>0</v>
      </c>
      <c r="K1319" s="539" t="s">
        <v>2299</v>
      </c>
      <c r="L1319" s="20"/>
    </row>
    <row r="1320" spans="1:19">
      <c r="A1320" s="14" t="s">
        <v>118</v>
      </c>
      <c r="D1320" s="18">
        <v>4</v>
      </c>
      <c r="E1320" s="26" t="str">
        <f>VLOOKUP($A1320,MATMO,2,FALSE)</f>
        <v>-</v>
      </c>
      <c r="F1320" s="311"/>
      <c r="G1320" s="307" t="str">
        <f>VLOOKUP($A1320,MATMO,3,FALSE)</f>
        <v>-</v>
      </c>
      <c r="H1320" s="110">
        <f>VLOOKUP($A1320,MATMO,4,FALSE)*$Q$6</f>
        <v>0</v>
      </c>
      <c r="I1320" s="543" t="str">
        <f t="shared" si="251"/>
        <v>-</v>
      </c>
      <c r="J1320" s="538">
        <f t="shared" si="250"/>
        <v>0</v>
      </c>
      <c r="K1320" s="539" t="s">
        <v>2299</v>
      </c>
      <c r="L1320" s="20"/>
    </row>
    <row r="1321" spans="1:19">
      <c r="A1321" s="14" t="s">
        <v>118</v>
      </c>
      <c r="D1321" s="18">
        <v>5</v>
      </c>
      <c r="E1321" s="26" t="str">
        <f>VLOOKUP($A1321,MATMO,2,FALSE)</f>
        <v>-</v>
      </c>
      <c r="F1321" s="311"/>
      <c r="G1321" s="307" t="str">
        <f>VLOOKUP($A1321,MATMO,3,FALSE)</f>
        <v>-</v>
      </c>
      <c r="H1321" s="110">
        <f>VLOOKUP($A1321,MATMO,4,FALSE)*$Q$6</f>
        <v>0</v>
      </c>
      <c r="I1321" s="543" t="str">
        <f t="shared" si="251"/>
        <v>-</v>
      </c>
      <c r="J1321" s="538">
        <f t="shared" si="250"/>
        <v>0</v>
      </c>
      <c r="K1321" s="539" t="s">
        <v>2299</v>
      </c>
      <c r="L1321" s="20"/>
    </row>
    <row r="1322" spans="1:19">
      <c r="A1322" s="14">
        <f>A1275+1</f>
        <v>28</v>
      </c>
      <c r="B1322" s="14" t="str">
        <f>"E" &amp; TEXT(A1322,"##000")</f>
        <v>E028</v>
      </c>
      <c r="D1322" s="18"/>
      <c r="E1322" s="591" t="s">
        <v>2300</v>
      </c>
      <c r="F1322" s="592"/>
      <c r="G1322" s="592"/>
      <c r="H1322" s="592"/>
      <c r="I1322" s="327"/>
      <c r="J1322" s="362">
        <f>SUM(J1317:J1321)</f>
        <v>37.086347137769998</v>
      </c>
      <c r="K1322" s="365" t="s">
        <v>116</v>
      </c>
      <c r="L1322" s="20"/>
    </row>
    <row r="1323" spans="1:19">
      <c r="D1323" s="18"/>
      <c r="E1323" s="596"/>
      <c r="F1323" s="597"/>
      <c r="G1323" s="597"/>
      <c r="H1323" s="597"/>
      <c r="I1323" s="597"/>
      <c r="J1323" s="598"/>
      <c r="K1323" s="348"/>
      <c r="L1323" s="20"/>
    </row>
    <row r="1324" spans="1:19">
      <c r="D1324" s="18"/>
      <c r="E1324" s="591" t="s">
        <v>2306</v>
      </c>
      <c r="F1324" s="592"/>
      <c r="G1324" s="592"/>
      <c r="H1324" s="592"/>
      <c r="I1324" s="327"/>
      <c r="J1324" s="308">
        <f>+J1322+J1315+J1308</f>
        <v>401.74502558201993</v>
      </c>
      <c r="K1324" s="365" t="str">
        <f>+F1285</f>
        <v>m2</v>
      </c>
      <c r="L1324" s="20"/>
    </row>
    <row r="1325" spans="1:19">
      <c r="D1325" s="18"/>
      <c r="E1325" s="591" t="s">
        <v>2305</v>
      </c>
      <c r="F1325" s="592"/>
      <c r="G1325" s="592"/>
      <c r="H1325" s="592"/>
      <c r="I1325" s="406">
        <f>+$Q$9</f>
        <v>1.6902999999999999</v>
      </c>
      <c r="J1325" s="308">
        <f>+$Q$9*J1324</f>
        <v>679.06961674128831</v>
      </c>
      <c r="K1325" s="365" t="str">
        <f>+F1285</f>
        <v>m2</v>
      </c>
      <c r="L1325" s="20"/>
    </row>
    <row r="1326" spans="1:19">
      <c r="A1326" s="14">
        <f>A1279+1</f>
        <v>28</v>
      </c>
      <c r="B1326" s="14" t="str">
        <f>"TR" &amp; TEXT(A1326,"##000")</f>
        <v>TR028</v>
      </c>
      <c r="C1326" s="14">
        <f>+C1279+1</f>
        <v>28</v>
      </c>
      <c r="D1326" s="18"/>
      <c r="E1326" s="591" t="s">
        <v>2304</v>
      </c>
      <c r="F1326" s="592"/>
      <c r="G1326" s="592"/>
      <c r="H1326" s="592"/>
      <c r="I1326" s="327"/>
      <c r="J1326" s="308">
        <f>+J1325</f>
        <v>679.06961674128831</v>
      </c>
      <c r="K1326" s="365" t="str">
        <f>+F1285</f>
        <v>m2</v>
      </c>
      <c r="L1326" s="20"/>
    </row>
    <row r="1327" spans="1:19" ht="16.5" thickBot="1">
      <c r="D1327" s="21"/>
      <c r="E1327" s="30"/>
      <c r="F1327" s="30"/>
      <c r="G1327" s="30"/>
      <c r="H1327" s="30"/>
      <c r="I1327" s="30"/>
      <c r="J1327" s="30"/>
      <c r="K1327" s="349"/>
      <c r="L1327" s="22"/>
    </row>
    <row r="1328" spans="1:19" ht="16.5" thickTop="1">
      <c r="D1328" s="15"/>
      <c r="E1328" s="16"/>
      <c r="F1328" s="16"/>
      <c r="G1328" s="16"/>
      <c r="H1328" s="16"/>
      <c r="I1328" s="16"/>
      <c r="J1328" s="16"/>
      <c r="K1328" s="16"/>
      <c r="L1328" s="17"/>
    </row>
    <row r="1329" spans="1:13">
      <c r="A1329" s="14" t="s">
        <v>1846</v>
      </c>
      <c r="D1329" s="18"/>
      <c r="E1329" s="23" t="s">
        <v>95</v>
      </c>
      <c r="F1329" s="24" t="str">
        <f>VLOOKUP($A1329,DATRUB,3,FALSE)</f>
        <v>RUBRO VII:</v>
      </c>
      <c r="G1329" s="599" t="str">
        <f>VLOOKUP($A1329,DATRUB,4,FALSE)</f>
        <v>CONTRAPISOS, CARPETAS, PISOS, UMBRALES y ZÓCALOS,</v>
      </c>
      <c r="H1329" s="599"/>
      <c r="I1329" s="599"/>
      <c r="J1329" s="599"/>
      <c r="K1329" s="599"/>
      <c r="L1329" s="20"/>
    </row>
    <row r="1330" spans="1:13" ht="35.1" customHeight="1">
      <c r="A1330" s="14" t="s">
        <v>1849</v>
      </c>
      <c r="D1330" s="18"/>
      <c r="E1330" s="23" t="s">
        <v>96</v>
      </c>
      <c r="F1330" s="399">
        <f>VLOOKUP($A1330,DATRUB,3,FALSE)</f>
        <v>7.3</v>
      </c>
      <c r="G1330" s="599" t="str">
        <f>VLOOKUP($A1330,DATRUB,4,FALSE)</f>
        <v>Carpeta de Asiento bajo Cerámico</v>
      </c>
      <c r="H1330" s="599"/>
      <c r="I1330" s="599"/>
      <c r="J1330" s="599"/>
      <c r="K1330" s="599"/>
      <c r="L1330" s="20"/>
    </row>
    <row r="1331" spans="1:13" ht="35.1" customHeight="1">
      <c r="A1331" s="14" t="s">
        <v>1849</v>
      </c>
      <c r="D1331" s="18"/>
      <c r="E1331" s="23" t="s">
        <v>97</v>
      </c>
      <c r="F1331" s="399">
        <f>VLOOKUP($A1331,DATRUB,3,FALSE)</f>
        <v>7.3</v>
      </c>
      <c r="G1331" s="599" t="str">
        <f>VLOOKUP($A1331,DATRUB,4,FALSE)</f>
        <v>Carpeta de Asiento bajo Cerámico</v>
      </c>
      <c r="H1331" s="599"/>
      <c r="I1331" s="599"/>
      <c r="J1331" s="599"/>
      <c r="K1331" s="599"/>
      <c r="L1331" s="20"/>
    </row>
    <row r="1332" spans="1:13">
      <c r="D1332" s="18"/>
      <c r="E1332" s="23" t="s">
        <v>98</v>
      </c>
      <c r="F1332" s="24" t="str">
        <f>VLOOKUP($A1331,DATRUB,5,FALSE)</f>
        <v>m2</v>
      </c>
      <c r="G1332" s="600"/>
      <c r="H1332" s="600"/>
      <c r="I1332" s="600"/>
      <c r="J1332" s="600"/>
      <c r="K1332" s="600"/>
      <c r="L1332" s="20"/>
    </row>
    <row r="1333" spans="1:13">
      <c r="D1333" s="18"/>
      <c r="E1333" s="24" t="s">
        <v>1158</v>
      </c>
      <c r="F1333" s="25" t="s">
        <v>1250</v>
      </c>
      <c r="G1333" s="24" t="s">
        <v>24</v>
      </c>
      <c r="H1333" s="24" t="s">
        <v>25</v>
      </c>
      <c r="I1333" s="24" t="s">
        <v>24</v>
      </c>
      <c r="J1333" s="24" t="s">
        <v>2298</v>
      </c>
      <c r="K1333" s="24" t="s">
        <v>24</v>
      </c>
      <c r="L1333" s="20"/>
    </row>
    <row r="1334" spans="1:13">
      <c r="D1334" s="18"/>
      <c r="E1334" s="593" t="s">
        <v>99</v>
      </c>
      <c r="F1334" s="594"/>
      <c r="G1334" s="594"/>
      <c r="H1334" s="594"/>
      <c r="I1334" s="594"/>
      <c r="J1334" s="594"/>
      <c r="K1334" s="595"/>
      <c r="L1334" s="20"/>
    </row>
    <row r="1335" spans="1:13">
      <c r="A1335" s="14" t="s">
        <v>2365</v>
      </c>
      <c r="D1335" s="18">
        <v>1</v>
      </c>
      <c r="E1335" s="355" t="str">
        <f t="shared" ref="E1335:E1354" si="252">VLOOKUP($A1335,MATMO,2,FALSE)</f>
        <v>Cemento Puzolanico</v>
      </c>
      <c r="F1335" s="400">
        <v>13</v>
      </c>
      <c r="G1335" s="357" t="str">
        <f t="shared" ref="G1335:G1354" si="253">VLOOKUP($A1335,MATMO,3,FALSE)</f>
        <v>kg</v>
      </c>
      <c r="H1335" s="358">
        <f t="shared" ref="H1335:H1354" si="254">VLOOKUP($A1335,MATMO,4,FALSE)*$Q$6</f>
        <v>2.0474999999999999</v>
      </c>
      <c r="I1335" s="359" t="str">
        <f t="shared" ref="I1335:I1354" si="255">+G1335</f>
        <v>kg</v>
      </c>
      <c r="J1335" s="361">
        <f>+H1335*F1335</f>
        <v>26.6175</v>
      </c>
      <c r="K1335" s="360" t="s">
        <v>2299</v>
      </c>
      <c r="L1335" s="20"/>
      <c r="M1335" s="14" t="s">
        <v>2005</v>
      </c>
    </row>
    <row r="1336" spans="1:13">
      <c r="A1336" s="14" t="s">
        <v>2366</v>
      </c>
      <c r="D1336" s="18">
        <v>2</v>
      </c>
      <c r="E1336" s="26" t="str">
        <f t="shared" si="252"/>
        <v>Arena</v>
      </c>
      <c r="F1336" s="400">
        <v>0.02</v>
      </c>
      <c r="G1336" s="307" t="str">
        <f t="shared" si="253"/>
        <v>m³</v>
      </c>
      <c r="H1336" s="351">
        <f t="shared" si="254"/>
        <v>170</v>
      </c>
      <c r="I1336" s="354" t="str">
        <f t="shared" si="255"/>
        <v>m³</v>
      </c>
      <c r="J1336" s="350">
        <f t="shared" ref="J1336:J1354" si="256">+H1336*F1336</f>
        <v>3.4</v>
      </c>
      <c r="K1336" s="360" t="s">
        <v>2299</v>
      </c>
      <c r="L1336" s="20"/>
    </row>
    <row r="1337" spans="1:13">
      <c r="A1337" s="14" t="s">
        <v>2376</v>
      </c>
      <c r="D1337" s="18">
        <v>3</v>
      </c>
      <c r="E1337" s="26" t="str">
        <f t="shared" si="252"/>
        <v>Reglas Metálicas/Madera</v>
      </c>
      <c r="F1337" s="400">
        <v>0.55000000000000004</v>
      </c>
      <c r="G1337" s="307" t="str">
        <f t="shared" si="253"/>
        <v>gl</v>
      </c>
      <c r="H1337" s="351">
        <f t="shared" si="254"/>
        <v>10</v>
      </c>
      <c r="I1337" s="354" t="str">
        <f t="shared" si="255"/>
        <v>gl</v>
      </c>
      <c r="J1337" s="350">
        <f t="shared" si="256"/>
        <v>5.5</v>
      </c>
      <c r="K1337" s="360" t="s">
        <v>2299</v>
      </c>
      <c r="L1337" s="20"/>
    </row>
    <row r="1338" spans="1:13">
      <c r="A1338" s="14" t="s">
        <v>31</v>
      </c>
      <c r="D1338" s="18">
        <v>4</v>
      </c>
      <c r="E1338" s="26" t="str">
        <f t="shared" si="252"/>
        <v>-</v>
      </c>
      <c r="F1338" s="311"/>
      <c r="G1338" s="307" t="str">
        <f t="shared" si="253"/>
        <v>-</v>
      </c>
      <c r="H1338" s="351">
        <f t="shared" si="254"/>
        <v>0</v>
      </c>
      <c r="I1338" s="537" t="str">
        <f t="shared" si="255"/>
        <v>-</v>
      </c>
      <c r="J1338" s="538">
        <f t="shared" si="256"/>
        <v>0</v>
      </c>
      <c r="K1338" s="539" t="s">
        <v>2299</v>
      </c>
      <c r="L1338" s="20"/>
    </row>
    <row r="1339" spans="1:13">
      <c r="A1339" s="14" t="s">
        <v>31</v>
      </c>
      <c r="D1339" s="18">
        <v>5</v>
      </c>
      <c r="E1339" s="26" t="str">
        <f t="shared" si="252"/>
        <v>-</v>
      </c>
      <c r="F1339" s="311"/>
      <c r="G1339" s="307" t="str">
        <f t="shared" si="253"/>
        <v>-</v>
      </c>
      <c r="H1339" s="351">
        <f t="shared" si="254"/>
        <v>0</v>
      </c>
      <c r="I1339" s="537" t="str">
        <f t="shared" si="255"/>
        <v>-</v>
      </c>
      <c r="J1339" s="538">
        <f t="shared" si="256"/>
        <v>0</v>
      </c>
      <c r="K1339" s="539" t="s">
        <v>2299</v>
      </c>
      <c r="L1339" s="20"/>
    </row>
    <row r="1340" spans="1:13">
      <c r="A1340" s="14" t="s">
        <v>31</v>
      </c>
      <c r="D1340" s="18">
        <v>6</v>
      </c>
      <c r="E1340" s="26" t="str">
        <f t="shared" si="252"/>
        <v>-</v>
      </c>
      <c r="F1340" s="311"/>
      <c r="G1340" s="307" t="str">
        <f t="shared" si="253"/>
        <v>-</v>
      </c>
      <c r="H1340" s="351">
        <f t="shared" si="254"/>
        <v>0</v>
      </c>
      <c r="I1340" s="537" t="str">
        <f t="shared" si="255"/>
        <v>-</v>
      </c>
      <c r="J1340" s="538">
        <f t="shared" si="256"/>
        <v>0</v>
      </c>
      <c r="K1340" s="539" t="s">
        <v>2299</v>
      </c>
      <c r="L1340" s="20"/>
    </row>
    <row r="1341" spans="1:13">
      <c r="A1341" s="14" t="s">
        <v>31</v>
      </c>
      <c r="D1341" s="18">
        <v>7</v>
      </c>
      <c r="E1341" s="26" t="str">
        <f t="shared" si="252"/>
        <v>-</v>
      </c>
      <c r="F1341" s="311"/>
      <c r="G1341" s="307" t="str">
        <f t="shared" si="253"/>
        <v>-</v>
      </c>
      <c r="H1341" s="351">
        <f t="shared" si="254"/>
        <v>0</v>
      </c>
      <c r="I1341" s="537" t="str">
        <f t="shared" si="255"/>
        <v>-</v>
      </c>
      <c r="J1341" s="538">
        <f t="shared" si="256"/>
        <v>0</v>
      </c>
      <c r="K1341" s="539" t="s">
        <v>2299</v>
      </c>
      <c r="L1341" s="20"/>
    </row>
    <row r="1342" spans="1:13">
      <c r="A1342" s="14" t="s">
        <v>31</v>
      </c>
      <c r="D1342" s="18">
        <v>8</v>
      </c>
      <c r="E1342" s="26" t="str">
        <f t="shared" si="252"/>
        <v>-</v>
      </c>
      <c r="F1342" s="311"/>
      <c r="G1342" s="307" t="str">
        <f t="shared" si="253"/>
        <v>-</v>
      </c>
      <c r="H1342" s="351">
        <f t="shared" si="254"/>
        <v>0</v>
      </c>
      <c r="I1342" s="537" t="str">
        <f t="shared" si="255"/>
        <v>-</v>
      </c>
      <c r="J1342" s="538">
        <f t="shared" si="256"/>
        <v>0</v>
      </c>
      <c r="K1342" s="539" t="s">
        <v>2299</v>
      </c>
      <c r="L1342" s="20"/>
    </row>
    <row r="1343" spans="1:13">
      <c r="A1343" s="14" t="s">
        <v>31</v>
      </c>
      <c r="D1343" s="18">
        <v>9</v>
      </c>
      <c r="E1343" s="26" t="str">
        <f t="shared" si="252"/>
        <v>-</v>
      </c>
      <c r="F1343" s="311"/>
      <c r="G1343" s="307" t="str">
        <f t="shared" si="253"/>
        <v>-</v>
      </c>
      <c r="H1343" s="351">
        <f t="shared" si="254"/>
        <v>0</v>
      </c>
      <c r="I1343" s="537" t="str">
        <f t="shared" si="255"/>
        <v>-</v>
      </c>
      <c r="J1343" s="538">
        <f t="shared" si="256"/>
        <v>0</v>
      </c>
      <c r="K1343" s="539" t="s">
        <v>2299</v>
      </c>
      <c r="L1343" s="20"/>
    </row>
    <row r="1344" spans="1:13">
      <c r="A1344" s="14" t="s">
        <v>31</v>
      </c>
      <c r="D1344" s="18">
        <v>10</v>
      </c>
      <c r="E1344" s="26" t="str">
        <f t="shared" si="252"/>
        <v>-</v>
      </c>
      <c r="F1344" s="311"/>
      <c r="G1344" s="307" t="str">
        <f t="shared" si="253"/>
        <v>-</v>
      </c>
      <c r="H1344" s="351">
        <f t="shared" si="254"/>
        <v>0</v>
      </c>
      <c r="I1344" s="537" t="str">
        <f t="shared" si="255"/>
        <v>-</v>
      </c>
      <c r="J1344" s="538">
        <f t="shared" si="256"/>
        <v>0</v>
      </c>
      <c r="K1344" s="539" t="s">
        <v>2299</v>
      </c>
      <c r="L1344" s="20"/>
    </row>
    <row r="1345" spans="1:16">
      <c r="A1345" s="14" t="s">
        <v>31</v>
      </c>
      <c r="D1345" s="18">
        <v>11</v>
      </c>
      <c r="E1345" s="26" t="str">
        <f t="shared" si="252"/>
        <v>-</v>
      </c>
      <c r="F1345" s="311"/>
      <c r="G1345" s="307" t="str">
        <f t="shared" si="253"/>
        <v>-</v>
      </c>
      <c r="H1345" s="351">
        <f t="shared" si="254"/>
        <v>0</v>
      </c>
      <c r="I1345" s="537" t="str">
        <f t="shared" si="255"/>
        <v>-</v>
      </c>
      <c r="J1345" s="538">
        <f t="shared" si="256"/>
        <v>0</v>
      </c>
      <c r="K1345" s="539" t="s">
        <v>2299</v>
      </c>
      <c r="L1345" s="20"/>
    </row>
    <row r="1346" spans="1:16">
      <c r="A1346" s="14" t="s">
        <v>31</v>
      </c>
      <c r="D1346" s="18">
        <v>12</v>
      </c>
      <c r="E1346" s="26" t="str">
        <f t="shared" si="252"/>
        <v>-</v>
      </c>
      <c r="F1346" s="311"/>
      <c r="G1346" s="307" t="str">
        <f t="shared" si="253"/>
        <v>-</v>
      </c>
      <c r="H1346" s="352">
        <f t="shared" si="254"/>
        <v>0</v>
      </c>
      <c r="I1346" s="537" t="str">
        <f t="shared" si="255"/>
        <v>-</v>
      </c>
      <c r="J1346" s="538">
        <f t="shared" si="256"/>
        <v>0</v>
      </c>
      <c r="K1346" s="539" t="s">
        <v>2299</v>
      </c>
      <c r="L1346" s="20"/>
    </row>
    <row r="1347" spans="1:16">
      <c r="A1347" s="14" t="s">
        <v>31</v>
      </c>
      <c r="D1347" s="18">
        <v>13</v>
      </c>
      <c r="E1347" s="26" t="str">
        <f t="shared" si="252"/>
        <v>-</v>
      </c>
      <c r="F1347" s="311"/>
      <c r="G1347" s="307" t="str">
        <f t="shared" si="253"/>
        <v>-</v>
      </c>
      <c r="H1347" s="352">
        <f t="shared" si="254"/>
        <v>0</v>
      </c>
      <c r="I1347" s="537" t="str">
        <f t="shared" si="255"/>
        <v>-</v>
      </c>
      <c r="J1347" s="538">
        <f t="shared" si="256"/>
        <v>0</v>
      </c>
      <c r="K1347" s="539" t="s">
        <v>2299</v>
      </c>
      <c r="L1347" s="20"/>
    </row>
    <row r="1348" spans="1:16">
      <c r="A1348" s="14" t="s">
        <v>31</v>
      </c>
      <c r="D1348" s="18">
        <v>14</v>
      </c>
      <c r="E1348" s="26" t="str">
        <f t="shared" si="252"/>
        <v>-</v>
      </c>
      <c r="F1348" s="311"/>
      <c r="G1348" s="307" t="str">
        <f t="shared" si="253"/>
        <v>-</v>
      </c>
      <c r="H1348" s="352">
        <f t="shared" si="254"/>
        <v>0</v>
      </c>
      <c r="I1348" s="537" t="str">
        <f t="shared" si="255"/>
        <v>-</v>
      </c>
      <c r="J1348" s="538">
        <f t="shared" si="256"/>
        <v>0</v>
      </c>
      <c r="K1348" s="539" t="s">
        <v>2299</v>
      </c>
      <c r="L1348" s="20"/>
    </row>
    <row r="1349" spans="1:16">
      <c r="A1349" s="14" t="s">
        <v>31</v>
      </c>
      <c r="D1349" s="18">
        <v>15</v>
      </c>
      <c r="E1349" s="26" t="str">
        <f t="shared" si="252"/>
        <v>-</v>
      </c>
      <c r="F1349" s="311"/>
      <c r="G1349" s="307" t="str">
        <f t="shared" si="253"/>
        <v>-</v>
      </c>
      <c r="H1349" s="352">
        <f t="shared" si="254"/>
        <v>0</v>
      </c>
      <c r="I1349" s="537" t="str">
        <f t="shared" si="255"/>
        <v>-</v>
      </c>
      <c r="J1349" s="538">
        <f t="shared" si="256"/>
        <v>0</v>
      </c>
      <c r="K1349" s="539" t="s">
        <v>2299</v>
      </c>
      <c r="L1349" s="20"/>
    </row>
    <row r="1350" spans="1:16">
      <c r="A1350" s="14" t="s">
        <v>31</v>
      </c>
      <c r="D1350" s="18">
        <v>16</v>
      </c>
      <c r="E1350" s="26" t="str">
        <f t="shared" si="252"/>
        <v>-</v>
      </c>
      <c r="F1350" s="311"/>
      <c r="G1350" s="307" t="str">
        <f t="shared" si="253"/>
        <v>-</v>
      </c>
      <c r="H1350" s="352">
        <f t="shared" si="254"/>
        <v>0</v>
      </c>
      <c r="I1350" s="537" t="str">
        <f t="shared" si="255"/>
        <v>-</v>
      </c>
      <c r="J1350" s="538">
        <f t="shared" si="256"/>
        <v>0</v>
      </c>
      <c r="K1350" s="539" t="s">
        <v>2299</v>
      </c>
      <c r="L1350" s="20"/>
    </row>
    <row r="1351" spans="1:16">
      <c r="A1351" s="14" t="s">
        <v>31</v>
      </c>
      <c r="D1351" s="18">
        <v>17</v>
      </c>
      <c r="E1351" s="26" t="str">
        <f t="shared" si="252"/>
        <v>-</v>
      </c>
      <c r="F1351" s="311"/>
      <c r="G1351" s="307" t="str">
        <f t="shared" si="253"/>
        <v>-</v>
      </c>
      <c r="H1351" s="352">
        <f t="shared" si="254"/>
        <v>0</v>
      </c>
      <c r="I1351" s="537" t="str">
        <f t="shared" si="255"/>
        <v>-</v>
      </c>
      <c r="J1351" s="538">
        <f t="shared" si="256"/>
        <v>0</v>
      </c>
      <c r="K1351" s="539" t="s">
        <v>2299</v>
      </c>
      <c r="L1351" s="20"/>
    </row>
    <row r="1352" spans="1:16">
      <c r="A1352" s="14" t="s">
        <v>31</v>
      </c>
      <c r="D1352" s="18">
        <v>18</v>
      </c>
      <c r="E1352" s="26" t="str">
        <f t="shared" si="252"/>
        <v>-</v>
      </c>
      <c r="F1352" s="311"/>
      <c r="G1352" s="307" t="str">
        <f t="shared" si="253"/>
        <v>-</v>
      </c>
      <c r="H1352" s="352">
        <f t="shared" si="254"/>
        <v>0</v>
      </c>
      <c r="I1352" s="537" t="str">
        <f t="shared" si="255"/>
        <v>-</v>
      </c>
      <c r="J1352" s="538">
        <f t="shared" si="256"/>
        <v>0</v>
      </c>
      <c r="K1352" s="539" t="s">
        <v>2299</v>
      </c>
      <c r="L1352" s="20"/>
    </row>
    <row r="1353" spans="1:16">
      <c r="A1353" s="14" t="s">
        <v>31</v>
      </c>
      <c r="D1353" s="18">
        <v>19</v>
      </c>
      <c r="E1353" s="26" t="str">
        <f t="shared" si="252"/>
        <v>-</v>
      </c>
      <c r="F1353" s="311"/>
      <c r="G1353" s="307" t="str">
        <f t="shared" si="253"/>
        <v>-</v>
      </c>
      <c r="H1353" s="352">
        <f t="shared" si="254"/>
        <v>0</v>
      </c>
      <c r="I1353" s="537" t="str">
        <f t="shared" si="255"/>
        <v>-</v>
      </c>
      <c r="J1353" s="538">
        <f t="shared" si="256"/>
        <v>0</v>
      </c>
      <c r="K1353" s="539" t="s">
        <v>2299</v>
      </c>
      <c r="L1353" s="20"/>
    </row>
    <row r="1354" spans="1:16">
      <c r="A1354" s="14" t="s">
        <v>31</v>
      </c>
      <c r="D1354" s="18">
        <v>20</v>
      </c>
      <c r="E1354" s="26" t="str">
        <f t="shared" si="252"/>
        <v>-</v>
      </c>
      <c r="F1354" s="311"/>
      <c r="G1354" s="307" t="str">
        <f t="shared" si="253"/>
        <v>-</v>
      </c>
      <c r="H1354" s="352">
        <f t="shared" si="254"/>
        <v>0</v>
      </c>
      <c r="I1354" s="537" t="str">
        <f t="shared" si="255"/>
        <v>-</v>
      </c>
      <c r="J1354" s="541">
        <f t="shared" si="256"/>
        <v>0</v>
      </c>
      <c r="K1354" s="539" t="s">
        <v>2299</v>
      </c>
      <c r="L1354" s="20"/>
    </row>
    <row r="1355" spans="1:16">
      <c r="A1355" s="14">
        <f>A1322+1</f>
        <v>29</v>
      </c>
      <c r="B1355" s="14" t="str">
        <f>"MA" &amp; TEXT(A1355,"##000")</f>
        <v>MA029</v>
      </c>
      <c r="D1355" s="18"/>
      <c r="E1355" s="591" t="s">
        <v>2302</v>
      </c>
      <c r="F1355" s="592"/>
      <c r="G1355" s="592"/>
      <c r="H1355" s="592"/>
      <c r="I1355" s="327"/>
      <c r="J1355" s="353">
        <f>SUM(J1335:J1354)</f>
        <v>35.517499999999998</v>
      </c>
      <c r="K1355" s="365" t="str">
        <f>+F1332</f>
        <v>m2</v>
      </c>
      <c r="L1355" s="20"/>
      <c r="O1355" s="27" t="s">
        <v>1525</v>
      </c>
      <c r="P1355" s="110">
        <v>30</v>
      </c>
    </row>
    <row r="1356" spans="1:16">
      <c r="D1356" s="18"/>
      <c r="E1356" s="593" t="s">
        <v>100</v>
      </c>
      <c r="F1356" s="594"/>
      <c r="G1356" s="594"/>
      <c r="H1356" s="594"/>
      <c r="I1356" s="594"/>
      <c r="J1356" s="595"/>
      <c r="K1356" s="347"/>
      <c r="L1356" s="20"/>
      <c r="O1356" s="27" t="s">
        <v>1524</v>
      </c>
      <c r="P1356" s="110">
        <v>0</v>
      </c>
    </row>
    <row r="1357" spans="1:16">
      <c r="A1357" s="14" t="s">
        <v>84</v>
      </c>
      <c r="D1357" s="18">
        <v>1</v>
      </c>
      <c r="E1357" s="26" t="str">
        <f>VLOOKUP($A1357,MATMO,2,FALSE)</f>
        <v>Oficial</v>
      </c>
      <c r="F1357" s="311">
        <v>0.45</v>
      </c>
      <c r="G1357" s="307" t="str">
        <f>VLOOKUP($A1357,MATMO,3,FALSE)</f>
        <v>hs</v>
      </c>
      <c r="H1357" s="110">
        <f>VLOOKUP($A1357,MATMO,4,FALSE)*$Q$7</f>
        <v>55.38</v>
      </c>
      <c r="I1357" s="354" t="str">
        <f t="shared" ref="I1357:I1361" si="257">+G1357</f>
        <v>hs</v>
      </c>
      <c r="J1357" s="350">
        <f t="shared" ref="J1357:J1361" si="258">+H1357*F1357</f>
        <v>24.921000000000003</v>
      </c>
      <c r="K1357" s="360" t="s">
        <v>2299</v>
      </c>
      <c r="L1357" s="20"/>
      <c r="M1357" s="14" t="s">
        <v>2006</v>
      </c>
      <c r="O1357" s="27" t="s">
        <v>1526</v>
      </c>
      <c r="P1357" s="110">
        <v>0</v>
      </c>
    </row>
    <row r="1358" spans="1:16">
      <c r="A1358" s="14" t="s">
        <v>85</v>
      </c>
      <c r="D1358" s="18">
        <v>2</v>
      </c>
      <c r="E1358" s="26" t="str">
        <f>VLOOKUP($A1358,MATMO,2,FALSE)</f>
        <v>Ayudante</v>
      </c>
      <c r="F1358" s="311">
        <v>0.1</v>
      </c>
      <c r="G1358" s="307" t="str">
        <f>VLOOKUP($A1358,MATMO,3,FALSE)</f>
        <v>hs</v>
      </c>
      <c r="H1358" s="110">
        <f>VLOOKUP($A1358,MATMO,4,FALSE)*$Q$7</f>
        <v>46.87</v>
      </c>
      <c r="I1358" s="354" t="str">
        <f t="shared" si="257"/>
        <v>hs</v>
      </c>
      <c r="J1358" s="350">
        <f t="shared" si="258"/>
        <v>4.6870000000000003</v>
      </c>
      <c r="K1358" s="360" t="s">
        <v>2299</v>
      </c>
      <c r="L1358" s="20"/>
      <c r="O1358" s="27" t="s">
        <v>1527</v>
      </c>
      <c r="P1358" s="110">
        <v>0</v>
      </c>
    </row>
    <row r="1359" spans="1:16">
      <c r="A1359" s="14" t="s">
        <v>2311</v>
      </c>
      <c r="D1359" s="18">
        <v>3</v>
      </c>
      <c r="E1359" s="26" t="str">
        <f>VLOOKUP($A1359,MATMO,2,FALSE)</f>
        <v>Cargas Sociales Oficial</v>
      </c>
      <c r="F1359" s="311">
        <f>+F1357</f>
        <v>0.45</v>
      </c>
      <c r="G1359" s="307" t="str">
        <f>VLOOKUP($A1359,MATMO,3,FALSE)</f>
        <v>hs</v>
      </c>
      <c r="H1359" s="110">
        <f>VLOOKUP($A1359,MATMO,4,FALSE)*$Q$7</f>
        <v>52.742782499999997</v>
      </c>
      <c r="I1359" s="354" t="str">
        <f t="shared" si="257"/>
        <v>hs</v>
      </c>
      <c r="J1359" s="350">
        <f t="shared" si="258"/>
        <v>23.734252124999998</v>
      </c>
      <c r="K1359" s="360" t="s">
        <v>2299</v>
      </c>
      <c r="L1359" s="20"/>
      <c r="O1359" s="27"/>
      <c r="P1359" s="110">
        <v>0</v>
      </c>
    </row>
    <row r="1360" spans="1:16">
      <c r="A1360" s="14" t="s">
        <v>2312</v>
      </c>
      <c r="D1360" s="18">
        <v>4</v>
      </c>
      <c r="E1360" s="26" t="str">
        <f>VLOOKUP($A1360,MATMO,2,FALSE)</f>
        <v>Cargas Sociales Ayudante</v>
      </c>
      <c r="F1360" s="311">
        <f>+F1358</f>
        <v>0.1</v>
      </c>
      <c r="G1360" s="307" t="str">
        <f>VLOOKUP($A1360,MATMO,3,FALSE)</f>
        <v>hs</v>
      </c>
      <c r="H1360" s="110">
        <f>VLOOKUP($A1360,MATMO,4,FALSE)*$Q$7</f>
        <v>45.108248750000001</v>
      </c>
      <c r="I1360" s="354" t="str">
        <f t="shared" si="257"/>
        <v>hs</v>
      </c>
      <c r="J1360" s="350">
        <f t="shared" si="258"/>
        <v>4.510824875</v>
      </c>
      <c r="K1360" s="360" t="s">
        <v>2299</v>
      </c>
      <c r="L1360" s="20"/>
      <c r="O1360" s="27"/>
      <c r="P1360" s="110">
        <v>0</v>
      </c>
    </row>
    <row r="1361" spans="1:19" ht="16.5" thickBot="1">
      <c r="A1361" s="14" t="s">
        <v>83</v>
      </c>
      <c r="D1361" s="18">
        <v>5</v>
      </c>
      <c r="E1361" s="26" t="str">
        <f>VLOOKUP($A1361,MATMO,2,FALSE)</f>
        <v>-</v>
      </c>
      <c r="F1361" s="311"/>
      <c r="G1361" s="307" t="str">
        <f>VLOOKUP($A1361,MATMO,3,FALSE)</f>
        <v>-</v>
      </c>
      <c r="H1361" s="110">
        <f>VLOOKUP($A1361,MATMO,4,FALSE)*$Q$7</f>
        <v>0</v>
      </c>
      <c r="I1361" s="537" t="str">
        <f t="shared" si="257"/>
        <v>-</v>
      </c>
      <c r="J1361" s="538">
        <f t="shared" si="258"/>
        <v>0</v>
      </c>
      <c r="K1361" s="539" t="s">
        <v>2299</v>
      </c>
      <c r="L1361" s="20"/>
      <c r="O1361" s="27"/>
      <c r="P1361" s="110">
        <v>0</v>
      </c>
      <c r="R1361" s="29" t="s">
        <v>2307</v>
      </c>
    </row>
    <row r="1362" spans="1:19" ht="16.5" thickBot="1">
      <c r="A1362" s="14">
        <f>A1322+1</f>
        <v>29</v>
      </c>
      <c r="B1362" s="14" t="str">
        <f>"MO" &amp; TEXT(A1362,"##000")</f>
        <v>MO029</v>
      </c>
      <c r="D1362" s="18"/>
      <c r="E1362" s="591" t="s">
        <v>2301</v>
      </c>
      <c r="F1362" s="592"/>
      <c r="G1362" s="592"/>
      <c r="H1362" s="592"/>
      <c r="I1362" s="327"/>
      <c r="J1362" s="362">
        <f>SUM(J1357:J1361)</f>
        <v>57.853076999999999</v>
      </c>
      <c r="K1362" s="365" t="str">
        <f>+G1357</f>
        <v>hs</v>
      </c>
      <c r="L1362" s="20"/>
      <c r="N1362" s="111">
        <f>+P1362+R1362</f>
        <v>57</v>
      </c>
      <c r="O1362" s="27"/>
      <c r="P1362" s="27">
        <f>SUM(P1355:P1361)</f>
        <v>30</v>
      </c>
      <c r="Q1362" s="26">
        <v>0.9</v>
      </c>
      <c r="R1362" s="287">
        <f>+Q1362*P1362</f>
        <v>27</v>
      </c>
      <c r="S1362" s="288"/>
    </row>
    <row r="1363" spans="1:19">
      <c r="D1363" s="18"/>
      <c r="E1363" s="593" t="s">
        <v>101</v>
      </c>
      <c r="F1363" s="594"/>
      <c r="G1363" s="594"/>
      <c r="H1363" s="594"/>
      <c r="I1363" s="594"/>
      <c r="J1363" s="595"/>
      <c r="K1363" s="347"/>
      <c r="L1363" s="20"/>
      <c r="P1363" s="14" t="s">
        <v>2308</v>
      </c>
    </row>
    <row r="1364" spans="1:19">
      <c r="A1364" s="14" t="s">
        <v>119</v>
      </c>
      <c r="D1364" s="18">
        <v>1</v>
      </c>
      <c r="E1364" s="26" t="str">
        <f>VLOOKUP($A1364,MATMO,2,FALSE)</f>
        <v>Herramientas de Mano</v>
      </c>
      <c r="F1364" s="311">
        <v>1</v>
      </c>
      <c r="G1364" s="307" t="str">
        <f>VLOOKUP($A1364,MATMO,3,FALSE)</f>
        <v>gl</v>
      </c>
      <c r="H1364" s="110">
        <f>+(J1355+J1362)*$Q$5</f>
        <v>3.73482308</v>
      </c>
      <c r="I1364" s="345" t="str">
        <f>+G1364</f>
        <v>gl</v>
      </c>
      <c r="J1364" s="350">
        <f t="shared" ref="J1364:J1368" si="259">+H1364*F1364</f>
        <v>3.73482308</v>
      </c>
      <c r="K1364" s="360" t="s">
        <v>2299</v>
      </c>
      <c r="L1364" s="20"/>
      <c r="M1364" s="14" t="s">
        <v>2004</v>
      </c>
    </row>
    <row r="1365" spans="1:19">
      <c r="A1365" s="14" t="s">
        <v>2389</v>
      </c>
      <c r="D1365" s="18">
        <v>2</v>
      </c>
      <c r="E1365" s="26" t="str">
        <f>VLOOKUP($A1365,MATMO,2,FALSE)</f>
        <v>Hormigonera</v>
      </c>
      <c r="F1365" s="311">
        <v>0.1</v>
      </c>
      <c r="G1365" s="307" t="str">
        <f>VLOOKUP($A1365,MATMO,3,FALSE)</f>
        <v>hs</v>
      </c>
      <c r="H1365" s="110">
        <f>VLOOKUP($A1365,MATMO,4,FALSE)*$Q$6</f>
        <v>301.3085399449036</v>
      </c>
      <c r="I1365" s="345" t="str">
        <f t="shared" ref="I1365:I1368" si="260">+G1365</f>
        <v>hs</v>
      </c>
      <c r="J1365" s="350">
        <f t="shared" si="259"/>
        <v>30.130853994490362</v>
      </c>
      <c r="K1365" s="360" t="s">
        <v>2299</v>
      </c>
      <c r="L1365" s="20"/>
    </row>
    <row r="1366" spans="1:19">
      <c r="A1366" s="14" t="s">
        <v>118</v>
      </c>
      <c r="D1366" s="18">
        <v>3</v>
      </c>
      <c r="E1366" s="26" t="str">
        <f>VLOOKUP($A1366,MATMO,2,FALSE)</f>
        <v>-</v>
      </c>
      <c r="F1366" s="311"/>
      <c r="G1366" s="307" t="str">
        <f>VLOOKUP($A1366,MATMO,3,FALSE)</f>
        <v>-</v>
      </c>
      <c r="H1366" s="110">
        <f>VLOOKUP($A1366,MATMO,4,FALSE)*$Q$6</f>
        <v>0</v>
      </c>
      <c r="I1366" s="543" t="str">
        <f t="shared" si="260"/>
        <v>-</v>
      </c>
      <c r="J1366" s="538">
        <f t="shared" si="259"/>
        <v>0</v>
      </c>
      <c r="K1366" s="539" t="s">
        <v>2299</v>
      </c>
      <c r="L1366" s="20"/>
    </row>
    <row r="1367" spans="1:19">
      <c r="A1367" s="14" t="s">
        <v>118</v>
      </c>
      <c r="D1367" s="18">
        <v>4</v>
      </c>
      <c r="E1367" s="26" t="str">
        <f>VLOOKUP($A1367,MATMO,2,FALSE)</f>
        <v>-</v>
      </c>
      <c r="F1367" s="311"/>
      <c r="G1367" s="307" t="str">
        <f>VLOOKUP($A1367,MATMO,3,FALSE)</f>
        <v>-</v>
      </c>
      <c r="H1367" s="110">
        <f>VLOOKUP($A1367,MATMO,4,FALSE)*$Q$6</f>
        <v>0</v>
      </c>
      <c r="I1367" s="543" t="str">
        <f t="shared" si="260"/>
        <v>-</v>
      </c>
      <c r="J1367" s="538">
        <f t="shared" si="259"/>
        <v>0</v>
      </c>
      <c r="K1367" s="539" t="s">
        <v>2299</v>
      </c>
      <c r="L1367" s="20"/>
    </row>
    <row r="1368" spans="1:19">
      <c r="A1368" s="14" t="s">
        <v>118</v>
      </c>
      <c r="D1368" s="18">
        <v>5</v>
      </c>
      <c r="E1368" s="26" t="str">
        <f>VLOOKUP($A1368,MATMO,2,FALSE)</f>
        <v>-</v>
      </c>
      <c r="F1368" s="311"/>
      <c r="G1368" s="307" t="str">
        <f>VLOOKUP($A1368,MATMO,3,FALSE)</f>
        <v>-</v>
      </c>
      <c r="H1368" s="110">
        <f>VLOOKUP($A1368,MATMO,4,FALSE)*$Q$6</f>
        <v>0</v>
      </c>
      <c r="I1368" s="543" t="str">
        <f t="shared" si="260"/>
        <v>-</v>
      </c>
      <c r="J1368" s="538">
        <f t="shared" si="259"/>
        <v>0</v>
      </c>
      <c r="K1368" s="539" t="s">
        <v>2299</v>
      </c>
      <c r="L1368" s="20"/>
    </row>
    <row r="1369" spans="1:19">
      <c r="A1369" s="14">
        <f>A1322+1</f>
        <v>29</v>
      </c>
      <c r="B1369" s="14" t="str">
        <f>"E" &amp; TEXT(A1369,"##000")</f>
        <v>E029</v>
      </c>
      <c r="D1369" s="18"/>
      <c r="E1369" s="591" t="s">
        <v>2300</v>
      </c>
      <c r="F1369" s="592"/>
      <c r="G1369" s="592"/>
      <c r="H1369" s="592"/>
      <c r="I1369" s="327"/>
      <c r="J1369" s="362">
        <f>SUM(J1364:J1368)</f>
        <v>33.865677074490364</v>
      </c>
      <c r="K1369" s="365" t="s">
        <v>116</v>
      </c>
      <c r="L1369" s="20"/>
    </row>
    <row r="1370" spans="1:19">
      <c r="D1370" s="18"/>
      <c r="E1370" s="596"/>
      <c r="F1370" s="597"/>
      <c r="G1370" s="597"/>
      <c r="H1370" s="597"/>
      <c r="I1370" s="597"/>
      <c r="J1370" s="598"/>
      <c r="K1370" s="348"/>
      <c r="L1370" s="20"/>
    </row>
    <row r="1371" spans="1:19">
      <c r="D1371" s="18"/>
      <c r="E1371" s="591" t="s">
        <v>2306</v>
      </c>
      <c r="F1371" s="592"/>
      <c r="G1371" s="592"/>
      <c r="H1371" s="592"/>
      <c r="I1371" s="327"/>
      <c r="J1371" s="308">
        <f>+J1369+J1362+J1355</f>
        <v>127.23625407449036</v>
      </c>
      <c r="K1371" s="365" t="str">
        <f>+F1332</f>
        <v>m2</v>
      </c>
      <c r="L1371" s="20"/>
    </row>
    <row r="1372" spans="1:19">
      <c r="D1372" s="18"/>
      <c r="E1372" s="591" t="s">
        <v>2305</v>
      </c>
      <c r="F1372" s="592"/>
      <c r="G1372" s="592"/>
      <c r="H1372" s="592"/>
      <c r="I1372" s="406">
        <f>+$Q$9</f>
        <v>1.6902999999999999</v>
      </c>
      <c r="J1372" s="308">
        <f>+$Q$9*J1371</f>
        <v>215.06744026211103</v>
      </c>
      <c r="K1372" s="365" t="str">
        <f>+F1332</f>
        <v>m2</v>
      </c>
      <c r="L1372" s="20"/>
    </row>
    <row r="1373" spans="1:19">
      <c r="A1373" s="14">
        <f>A1326+1</f>
        <v>29</v>
      </c>
      <c r="B1373" s="14" t="str">
        <f>"TR" &amp; TEXT(A1373,"##000")</f>
        <v>TR029</v>
      </c>
      <c r="C1373" s="14">
        <f>+C1326+1</f>
        <v>29</v>
      </c>
      <c r="D1373" s="18"/>
      <c r="E1373" s="591" t="s">
        <v>2304</v>
      </c>
      <c r="F1373" s="592"/>
      <c r="G1373" s="592"/>
      <c r="H1373" s="592"/>
      <c r="I1373" s="327"/>
      <c r="J1373" s="308">
        <f>+J1372</f>
        <v>215.06744026211103</v>
      </c>
      <c r="K1373" s="365" t="str">
        <f>+F1332</f>
        <v>m2</v>
      </c>
      <c r="L1373" s="20"/>
    </row>
    <row r="1374" spans="1:19" ht="16.5" thickBot="1">
      <c r="D1374" s="21"/>
      <c r="E1374" s="30"/>
      <c r="F1374" s="30"/>
      <c r="G1374" s="30"/>
      <c r="H1374" s="30"/>
      <c r="I1374" s="30"/>
      <c r="J1374" s="30"/>
      <c r="K1374" s="349"/>
      <c r="L1374" s="22"/>
    </row>
    <row r="1375" spans="1:19" ht="16.5" thickTop="1">
      <c r="D1375" s="15"/>
      <c r="E1375" s="16"/>
      <c r="F1375" s="16"/>
      <c r="G1375" s="16"/>
      <c r="H1375" s="16"/>
      <c r="I1375" s="16"/>
      <c r="J1375" s="16"/>
      <c r="K1375" s="16"/>
      <c r="L1375" s="17"/>
    </row>
    <row r="1376" spans="1:19">
      <c r="A1376" s="14" t="s">
        <v>1846</v>
      </c>
      <c r="D1376" s="18"/>
      <c r="E1376" s="23" t="s">
        <v>95</v>
      </c>
      <c r="F1376" s="24" t="str">
        <f>VLOOKUP($A1376,DATRUB,3,FALSE)</f>
        <v>RUBRO VII:</v>
      </c>
      <c r="G1376" s="599" t="str">
        <f>VLOOKUP($A1376,DATRUB,4,FALSE)</f>
        <v>CONTRAPISOS, CARPETAS, PISOS, UMBRALES y ZÓCALOS,</v>
      </c>
      <c r="H1376" s="599"/>
      <c r="I1376" s="599"/>
      <c r="J1376" s="599"/>
      <c r="K1376" s="599"/>
      <c r="L1376" s="20"/>
    </row>
    <row r="1377" spans="1:13" ht="35.1" customHeight="1">
      <c r="A1377" s="14" t="s">
        <v>1850</v>
      </c>
      <c r="D1377" s="18"/>
      <c r="E1377" s="23" t="s">
        <v>96</v>
      </c>
      <c r="F1377" s="399">
        <f>VLOOKUP($A1377,DATRUB,3,FALSE)</f>
        <v>7.4</v>
      </c>
      <c r="G1377" s="599" t="str">
        <f>VLOOKUP($A1377,DATRUB,4,FALSE)</f>
        <v>Piso Industrialde Hormigon Llaneado c/endurecedor c/fibra de nylon</v>
      </c>
      <c r="H1377" s="599"/>
      <c r="I1377" s="599"/>
      <c r="J1377" s="599"/>
      <c r="K1377" s="599"/>
      <c r="L1377" s="20"/>
    </row>
    <row r="1378" spans="1:13" ht="35.1" customHeight="1">
      <c r="A1378" s="14" t="s">
        <v>1850</v>
      </c>
      <c r="D1378" s="18"/>
      <c r="E1378" s="23" t="s">
        <v>97</v>
      </c>
      <c r="F1378" s="399">
        <f>VLOOKUP($A1378,DATRUB,3,FALSE)</f>
        <v>7.4</v>
      </c>
      <c r="G1378" s="599" t="str">
        <f>VLOOKUP($A1378,DATRUB,4,FALSE)</f>
        <v>Piso Industrialde Hormigon Llaneado c/endurecedor c/fibra de nylon</v>
      </c>
      <c r="H1378" s="599"/>
      <c r="I1378" s="599"/>
      <c r="J1378" s="599"/>
      <c r="K1378" s="599"/>
      <c r="L1378" s="20"/>
    </row>
    <row r="1379" spans="1:13">
      <c r="D1379" s="18"/>
      <c r="E1379" s="23" t="s">
        <v>98</v>
      </c>
      <c r="F1379" s="24" t="str">
        <f>VLOOKUP($A1378,DATRUB,5,FALSE)</f>
        <v>m2</v>
      </c>
      <c r="G1379" s="600"/>
      <c r="H1379" s="600"/>
      <c r="I1379" s="600"/>
      <c r="J1379" s="600"/>
      <c r="K1379" s="600"/>
      <c r="L1379" s="20"/>
    </row>
    <row r="1380" spans="1:13">
      <c r="D1380" s="18"/>
      <c r="E1380" s="24" t="s">
        <v>1158</v>
      </c>
      <c r="F1380" s="25" t="s">
        <v>1250</v>
      </c>
      <c r="G1380" s="24" t="s">
        <v>24</v>
      </c>
      <c r="H1380" s="24" t="s">
        <v>25</v>
      </c>
      <c r="I1380" s="24" t="s">
        <v>24</v>
      </c>
      <c r="J1380" s="24" t="s">
        <v>2298</v>
      </c>
      <c r="K1380" s="24" t="s">
        <v>24</v>
      </c>
      <c r="L1380" s="20"/>
    </row>
    <row r="1381" spans="1:13">
      <c r="D1381" s="18"/>
      <c r="E1381" s="593" t="s">
        <v>99</v>
      </c>
      <c r="F1381" s="594"/>
      <c r="G1381" s="594"/>
      <c r="H1381" s="594"/>
      <c r="I1381" s="594"/>
      <c r="J1381" s="594"/>
      <c r="K1381" s="595"/>
      <c r="L1381" s="20"/>
    </row>
    <row r="1382" spans="1:13">
      <c r="A1382" s="14" t="s">
        <v>2433</v>
      </c>
      <c r="D1382" s="18">
        <v>1</v>
      </c>
      <c r="E1382" s="355" t="str">
        <f t="shared" ref="E1382:E1401" si="261">VLOOKUP($A1382,MATMO,2,FALSE)</f>
        <v>Hormigón Elaborado 4</v>
      </c>
      <c r="F1382" s="356">
        <v>0.1</v>
      </c>
      <c r="G1382" s="357" t="str">
        <f t="shared" ref="G1382:G1401" si="262">VLOOKUP($A1382,MATMO,3,FALSE)</f>
        <v>m³</v>
      </c>
      <c r="H1382" s="358">
        <f t="shared" ref="H1382:H1401" si="263">VLOOKUP($A1382,MATMO,4,FALSE)*$Q$6</f>
        <v>1421</v>
      </c>
      <c r="I1382" s="359" t="str">
        <f t="shared" ref="I1382:I1401" si="264">+G1382</f>
        <v>m³</v>
      </c>
      <c r="J1382" s="361">
        <f>+H1382*F1382</f>
        <v>142.1</v>
      </c>
      <c r="K1382" s="360" t="s">
        <v>2299</v>
      </c>
      <c r="L1382" s="20"/>
      <c r="M1382" s="14" t="s">
        <v>2005</v>
      </c>
    </row>
    <row r="1383" spans="1:13">
      <c r="A1383" s="14" t="s">
        <v>2443</v>
      </c>
      <c r="D1383" s="18">
        <v>2</v>
      </c>
      <c r="E1383" s="415" t="str">
        <f t="shared" si="261"/>
        <v>Cuarso</v>
      </c>
      <c r="F1383" s="416">
        <v>2</v>
      </c>
      <c r="G1383" s="417" t="str">
        <f t="shared" si="262"/>
        <v>kg</v>
      </c>
      <c r="H1383" s="411">
        <f t="shared" si="263"/>
        <v>5</v>
      </c>
      <c r="I1383" s="354" t="str">
        <f t="shared" si="264"/>
        <v>kg</v>
      </c>
      <c r="J1383" s="350">
        <f t="shared" ref="J1383:J1401" si="265">+H1383*F1383</f>
        <v>10</v>
      </c>
      <c r="K1383" s="360" t="s">
        <v>2299</v>
      </c>
      <c r="L1383" s="20"/>
    </row>
    <row r="1384" spans="1:13">
      <c r="A1384" s="14" t="s">
        <v>2464</v>
      </c>
      <c r="D1384" s="18">
        <v>3</v>
      </c>
      <c r="E1384" s="415" t="str">
        <f t="shared" si="261"/>
        <v>Aditivo Protex Curing</v>
      </c>
      <c r="F1384" s="416">
        <v>0.2</v>
      </c>
      <c r="G1384" s="417" t="str">
        <f t="shared" si="262"/>
        <v>lts</v>
      </c>
      <c r="H1384" s="411">
        <f t="shared" si="263"/>
        <v>30.7</v>
      </c>
      <c r="I1384" s="354" t="str">
        <f t="shared" si="264"/>
        <v>lts</v>
      </c>
      <c r="J1384" s="350">
        <f t="shared" si="265"/>
        <v>6.1400000000000006</v>
      </c>
      <c r="K1384" s="360" t="s">
        <v>2299</v>
      </c>
      <c r="L1384" s="20"/>
    </row>
    <row r="1385" spans="1:13">
      <c r="A1385" s="14" t="s">
        <v>2365</v>
      </c>
      <c r="D1385" s="18">
        <v>4</v>
      </c>
      <c r="E1385" s="26" t="str">
        <f t="shared" si="261"/>
        <v>Cemento Puzolanico</v>
      </c>
      <c r="F1385" s="311">
        <v>1</v>
      </c>
      <c r="G1385" s="307" t="str">
        <f t="shared" si="262"/>
        <v>kg</v>
      </c>
      <c r="H1385" s="351">
        <f t="shared" si="263"/>
        <v>2.0474999999999999</v>
      </c>
      <c r="I1385" s="354" t="str">
        <f t="shared" si="264"/>
        <v>kg</v>
      </c>
      <c r="J1385" s="350">
        <f t="shared" si="265"/>
        <v>2.0474999999999999</v>
      </c>
      <c r="K1385" s="360" t="s">
        <v>2299</v>
      </c>
      <c r="L1385" s="20"/>
    </row>
    <row r="1386" spans="1:13">
      <c r="A1386" s="14" t="s">
        <v>2465</v>
      </c>
      <c r="D1386" s="18">
        <v>5</v>
      </c>
      <c r="E1386" s="26" t="str">
        <f t="shared" si="261"/>
        <v>Aditivos Color Protex</v>
      </c>
      <c r="F1386" s="311">
        <v>2</v>
      </c>
      <c r="G1386" s="307" t="str">
        <f t="shared" si="262"/>
        <v>kg</v>
      </c>
      <c r="H1386" s="351">
        <f t="shared" si="263"/>
        <v>8</v>
      </c>
      <c r="I1386" s="354" t="str">
        <f t="shared" si="264"/>
        <v>kg</v>
      </c>
      <c r="J1386" s="350">
        <f t="shared" si="265"/>
        <v>16</v>
      </c>
      <c r="K1386" s="360" t="s">
        <v>2299</v>
      </c>
      <c r="L1386" s="20"/>
    </row>
    <row r="1387" spans="1:13">
      <c r="A1387" s="14" t="s">
        <v>31</v>
      </c>
      <c r="D1387" s="18">
        <v>6</v>
      </c>
      <c r="E1387" s="26" t="str">
        <f t="shared" si="261"/>
        <v>-</v>
      </c>
      <c r="F1387" s="311"/>
      <c r="G1387" s="307" t="str">
        <f t="shared" si="262"/>
        <v>-</v>
      </c>
      <c r="H1387" s="351">
        <f t="shared" si="263"/>
        <v>0</v>
      </c>
      <c r="I1387" s="537" t="str">
        <f t="shared" si="264"/>
        <v>-</v>
      </c>
      <c r="J1387" s="538">
        <f t="shared" si="265"/>
        <v>0</v>
      </c>
      <c r="K1387" s="539" t="s">
        <v>2299</v>
      </c>
      <c r="L1387" s="20"/>
    </row>
    <row r="1388" spans="1:13">
      <c r="A1388" s="14" t="s">
        <v>31</v>
      </c>
      <c r="D1388" s="18">
        <v>7</v>
      </c>
      <c r="E1388" s="26" t="str">
        <f t="shared" si="261"/>
        <v>-</v>
      </c>
      <c r="F1388" s="311"/>
      <c r="G1388" s="307" t="str">
        <f t="shared" si="262"/>
        <v>-</v>
      </c>
      <c r="H1388" s="351">
        <f t="shared" si="263"/>
        <v>0</v>
      </c>
      <c r="I1388" s="537" t="str">
        <f t="shared" si="264"/>
        <v>-</v>
      </c>
      <c r="J1388" s="538">
        <f t="shared" si="265"/>
        <v>0</v>
      </c>
      <c r="K1388" s="539" t="s">
        <v>2299</v>
      </c>
      <c r="L1388" s="20"/>
    </row>
    <row r="1389" spans="1:13">
      <c r="A1389" s="14" t="s">
        <v>31</v>
      </c>
      <c r="D1389" s="18">
        <v>8</v>
      </c>
      <c r="E1389" s="26" t="str">
        <f t="shared" si="261"/>
        <v>-</v>
      </c>
      <c r="F1389" s="311"/>
      <c r="G1389" s="307" t="str">
        <f t="shared" si="262"/>
        <v>-</v>
      </c>
      <c r="H1389" s="351">
        <f t="shared" si="263"/>
        <v>0</v>
      </c>
      <c r="I1389" s="537" t="str">
        <f t="shared" si="264"/>
        <v>-</v>
      </c>
      <c r="J1389" s="538">
        <f t="shared" si="265"/>
        <v>0</v>
      </c>
      <c r="K1389" s="539" t="s">
        <v>2299</v>
      </c>
      <c r="L1389" s="20"/>
    </row>
    <row r="1390" spans="1:13">
      <c r="A1390" s="14" t="s">
        <v>31</v>
      </c>
      <c r="D1390" s="18">
        <v>9</v>
      </c>
      <c r="E1390" s="26" t="str">
        <f t="shared" si="261"/>
        <v>-</v>
      </c>
      <c r="F1390" s="311"/>
      <c r="G1390" s="307" t="str">
        <f t="shared" si="262"/>
        <v>-</v>
      </c>
      <c r="H1390" s="351">
        <f t="shared" si="263"/>
        <v>0</v>
      </c>
      <c r="I1390" s="537" t="str">
        <f t="shared" si="264"/>
        <v>-</v>
      </c>
      <c r="J1390" s="538">
        <f t="shared" si="265"/>
        <v>0</v>
      </c>
      <c r="K1390" s="539" t="s">
        <v>2299</v>
      </c>
      <c r="L1390" s="20"/>
    </row>
    <row r="1391" spans="1:13">
      <c r="A1391" s="14" t="s">
        <v>31</v>
      </c>
      <c r="D1391" s="18">
        <v>10</v>
      </c>
      <c r="E1391" s="26" t="str">
        <f t="shared" si="261"/>
        <v>-</v>
      </c>
      <c r="F1391" s="311"/>
      <c r="G1391" s="307" t="str">
        <f t="shared" si="262"/>
        <v>-</v>
      </c>
      <c r="H1391" s="351">
        <f t="shared" si="263"/>
        <v>0</v>
      </c>
      <c r="I1391" s="537" t="str">
        <f t="shared" si="264"/>
        <v>-</v>
      </c>
      <c r="J1391" s="538">
        <f t="shared" si="265"/>
        <v>0</v>
      </c>
      <c r="K1391" s="539" t="s">
        <v>2299</v>
      </c>
      <c r="L1391" s="20"/>
    </row>
    <row r="1392" spans="1:13">
      <c r="A1392" s="14" t="s">
        <v>31</v>
      </c>
      <c r="D1392" s="18">
        <v>11</v>
      </c>
      <c r="E1392" s="26" t="str">
        <f t="shared" si="261"/>
        <v>-</v>
      </c>
      <c r="F1392" s="311"/>
      <c r="G1392" s="307" t="str">
        <f t="shared" si="262"/>
        <v>-</v>
      </c>
      <c r="H1392" s="351">
        <f t="shared" si="263"/>
        <v>0</v>
      </c>
      <c r="I1392" s="537" t="str">
        <f t="shared" si="264"/>
        <v>-</v>
      </c>
      <c r="J1392" s="538">
        <f t="shared" si="265"/>
        <v>0</v>
      </c>
      <c r="K1392" s="539" t="s">
        <v>2299</v>
      </c>
      <c r="L1392" s="20"/>
    </row>
    <row r="1393" spans="1:18">
      <c r="A1393" s="14" t="s">
        <v>31</v>
      </c>
      <c r="D1393" s="18">
        <v>12</v>
      </c>
      <c r="E1393" s="26" t="str">
        <f t="shared" si="261"/>
        <v>-</v>
      </c>
      <c r="F1393" s="311"/>
      <c r="G1393" s="307" t="str">
        <f t="shared" si="262"/>
        <v>-</v>
      </c>
      <c r="H1393" s="352">
        <f t="shared" si="263"/>
        <v>0</v>
      </c>
      <c r="I1393" s="537" t="str">
        <f t="shared" si="264"/>
        <v>-</v>
      </c>
      <c r="J1393" s="538">
        <f t="shared" si="265"/>
        <v>0</v>
      </c>
      <c r="K1393" s="539" t="s">
        <v>2299</v>
      </c>
      <c r="L1393" s="20"/>
    </row>
    <row r="1394" spans="1:18">
      <c r="A1394" s="14" t="s">
        <v>31</v>
      </c>
      <c r="D1394" s="18">
        <v>13</v>
      </c>
      <c r="E1394" s="26" t="str">
        <f t="shared" si="261"/>
        <v>-</v>
      </c>
      <c r="F1394" s="311"/>
      <c r="G1394" s="307" t="str">
        <f t="shared" si="262"/>
        <v>-</v>
      </c>
      <c r="H1394" s="352">
        <f t="shared" si="263"/>
        <v>0</v>
      </c>
      <c r="I1394" s="537" t="str">
        <f t="shared" si="264"/>
        <v>-</v>
      </c>
      <c r="J1394" s="538">
        <f t="shared" si="265"/>
        <v>0</v>
      </c>
      <c r="K1394" s="539" t="s">
        <v>2299</v>
      </c>
      <c r="L1394" s="20"/>
    </row>
    <row r="1395" spans="1:18">
      <c r="A1395" s="14" t="s">
        <v>31</v>
      </c>
      <c r="D1395" s="18">
        <v>14</v>
      </c>
      <c r="E1395" s="26" t="str">
        <f t="shared" si="261"/>
        <v>-</v>
      </c>
      <c r="F1395" s="311"/>
      <c r="G1395" s="307" t="str">
        <f t="shared" si="262"/>
        <v>-</v>
      </c>
      <c r="H1395" s="352">
        <f t="shared" si="263"/>
        <v>0</v>
      </c>
      <c r="I1395" s="537" t="str">
        <f t="shared" si="264"/>
        <v>-</v>
      </c>
      <c r="J1395" s="538">
        <f t="shared" si="265"/>
        <v>0</v>
      </c>
      <c r="K1395" s="539" t="s">
        <v>2299</v>
      </c>
      <c r="L1395" s="20"/>
    </row>
    <row r="1396" spans="1:18">
      <c r="A1396" s="14" t="s">
        <v>31</v>
      </c>
      <c r="D1396" s="18">
        <v>15</v>
      </c>
      <c r="E1396" s="26" t="str">
        <f t="shared" si="261"/>
        <v>-</v>
      </c>
      <c r="F1396" s="311"/>
      <c r="G1396" s="307" t="str">
        <f t="shared" si="262"/>
        <v>-</v>
      </c>
      <c r="H1396" s="352">
        <f t="shared" si="263"/>
        <v>0</v>
      </c>
      <c r="I1396" s="537" t="str">
        <f t="shared" si="264"/>
        <v>-</v>
      </c>
      <c r="J1396" s="538">
        <f t="shared" si="265"/>
        <v>0</v>
      </c>
      <c r="K1396" s="539" t="s">
        <v>2299</v>
      </c>
      <c r="L1396" s="20"/>
    </row>
    <row r="1397" spans="1:18">
      <c r="A1397" s="14" t="s">
        <v>31</v>
      </c>
      <c r="D1397" s="18">
        <v>16</v>
      </c>
      <c r="E1397" s="26" t="str">
        <f t="shared" si="261"/>
        <v>-</v>
      </c>
      <c r="F1397" s="311"/>
      <c r="G1397" s="307" t="str">
        <f t="shared" si="262"/>
        <v>-</v>
      </c>
      <c r="H1397" s="352">
        <f t="shared" si="263"/>
        <v>0</v>
      </c>
      <c r="I1397" s="537" t="str">
        <f t="shared" si="264"/>
        <v>-</v>
      </c>
      <c r="J1397" s="538">
        <f t="shared" si="265"/>
        <v>0</v>
      </c>
      <c r="K1397" s="539" t="s">
        <v>2299</v>
      </c>
      <c r="L1397" s="20"/>
    </row>
    <row r="1398" spans="1:18">
      <c r="A1398" s="14" t="s">
        <v>31</v>
      </c>
      <c r="D1398" s="18">
        <v>17</v>
      </c>
      <c r="E1398" s="26" t="str">
        <f t="shared" si="261"/>
        <v>-</v>
      </c>
      <c r="F1398" s="311"/>
      <c r="G1398" s="307" t="str">
        <f t="shared" si="262"/>
        <v>-</v>
      </c>
      <c r="H1398" s="352">
        <f t="shared" si="263"/>
        <v>0</v>
      </c>
      <c r="I1398" s="537" t="str">
        <f t="shared" si="264"/>
        <v>-</v>
      </c>
      <c r="J1398" s="538">
        <f t="shared" si="265"/>
        <v>0</v>
      </c>
      <c r="K1398" s="539" t="s">
        <v>2299</v>
      </c>
      <c r="L1398" s="20"/>
    </row>
    <row r="1399" spans="1:18">
      <c r="A1399" s="14" t="s">
        <v>31</v>
      </c>
      <c r="D1399" s="18">
        <v>18</v>
      </c>
      <c r="E1399" s="26" t="str">
        <f t="shared" si="261"/>
        <v>-</v>
      </c>
      <c r="F1399" s="311"/>
      <c r="G1399" s="307" t="str">
        <f t="shared" si="262"/>
        <v>-</v>
      </c>
      <c r="H1399" s="352">
        <f t="shared" si="263"/>
        <v>0</v>
      </c>
      <c r="I1399" s="537" t="str">
        <f t="shared" si="264"/>
        <v>-</v>
      </c>
      <c r="J1399" s="538">
        <f t="shared" si="265"/>
        <v>0</v>
      </c>
      <c r="K1399" s="539" t="s">
        <v>2299</v>
      </c>
      <c r="L1399" s="20"/>
    </row>
    <row r="1400" spans="1:18">
      <c r="A1400" s="14" t="s">
        <v>31</v>
      </c>
      <c r="D1400" s="18">
        <v>19</v>
      </c>
      <c r="E1400" s="26" t="str">
        <f t="shared" si="261"/>
        <v>-</v>
      </c>
      <c r="F1400" s="311"/>
      <c r="G1400" s="307" t="str">
        <f t="shared" si="262"/>
        <v>-</v>
      </c>
      <c r="H1400" s="352">
        <f t="shared" si="263"/>
        <v>0</v>
      </c>
      <c r="I1400" s="537" t="str">
        <f t="shared" si="264"/>
        <v>-</v>
      </c>
      <c r="J1400" s="538">
        <f t="shared" si="265"/>
        <v>0</v>
      </c>
      <c r="K1400" s="539" t="s">
        <v>2299</v>
      </c>
      <c r="L1400" s="20"/>
    </row>
    <row r="1401" spans="1:18">
      <c r="A1401" s="14" t="s">
        <v>31</v>
      </c>
      <c r="D1401" s="18">
        <v>20</v>
      </c>
      <c r="E1401" s="26" t="str">
        <f t="shared" si="261"/>
        <v>-</v>
      </c>
      <c r="F1401" s="311"/>
      <c r="G1401" s="307" t="str">
        <f t="shared" si="262"/>
        <v>-</v>
      </c>
      <c r="H1401" s="352">
        <f t="shared" si="263"/>
        <v>0</v>
      </c>
      <c r="I1401" s="537" t="str">
        <f t="shared" si="264"/>
        <v>-</v>
      </c>
      <c r="J1401" s="541">
        <f t="shared" si="265"/>
        <v>0</v>
      </c>
      <c r="K1401" s="539" t="s">
        <v>2299</v>
      </c>
      <c r="L1401" s="20"/>
    </row>
    <row r="1402" spans="1:18">
      <c r="A1402" s="14">
        <f>A1369+1</f>
        <v>30</v>
      </c>
      <c r="B1402" s="14" t="str">
        <f>"MA" &amp; TEXT(A1402,"##000")</f>
        <v>MA030</v>
      </c>
      <c r="D1402" s="18"/>
      <c r="E1402" s="591" t="s">
        <v>2302</v>
      </c>
      <c r="F1402" s="592"/>
      <c r="G1402" s="592"/>
      <c r="H1402" s="592"/>
      <c r="I1402" s="327"/>
      <c r="J1402" s="353">
        <f>SUM(J1382:J1401)</f>
        <v>176.28750000000002</v>
      </c>
      <c r="K1402" s="365" t="str">
        <f>+F1379</f>
        <v>m2</v>
      </c>
      <c r="L1402" s="20"/>
      <c r="O1402" s="27" t="s">
        <v>1525</v>
      </c>
      <c r="P1402" s="110">
        <v>130</v>
      </c>
      <c r="Q1402" s="14" t="s">
        <v>2444</v>
      </c>
    </row>
    <row r="1403" spans="1:18">
      <c r="D1403" s="18"/>
      <c r="E1403" s="593" t="s">
        <v>100</v>
      </c>
      <c r="F1403" s="594"/>
      <c r="G1403" s="594"/>
      <c r="H1403" s="594"/>
      <c r="I1403" s="594"/>
      <c r="J1403" s="595"/>
      <c r="K1403" s="347"/>
      <c r="L1403" s="20"/>
      <c r="O1403" s="27" t="s">
        <v>1524</v>
      </c>
      <c r="P1403" s="110"/>
    </row>
    <row r="1404" spans="1:18">
      <c r="A1404" s="14" t="s">
        <v>84</v>
      </c>
      <c r="D1404" s="18">
        <v>1</v>
      </c>
      <c r="E1404" s="26" t="str">
        <f>VLOOKUP($A1404,MATMO,2,FALSE)</f>
        <v>Oficial</v>
      </c>
      <c r="F1404" s="311">
        <v>1.65</v>
      </c>
      <c r="G1404" s="307" t="str">
        <f>VLOOKUP($A1404,MATMO,3,FALSE)</f>
        <v>hs</v>
      </c>
      <c r="H1404" s="110">
        <f>VLOOKUP($A1404,MATMO,4,FALSE)*$Q$7</f>
        <v>55.38</v>
      </c>
      <c r="I1404" s="354" t="str">
        <f t="shared" ref="I1404:I1408" si="266">+G1404</f>
        <v>hs</v>
      </c>
      <c r="J1404" s="350">
        <f t="shared" ref="J1404:J1408" si="267">+H1404*F1404</f>
        <v>91.376999999999995</v>
      </c>
      <c r="K1404" s="360" t="s">
        <v>2299</v>
      </c>
      <c r="L1404" s="20"/>
      <c r="M1404" s="14" t="s">
        <v>2006</v>
      </c>
      <c r="O1404" s="27" t="s">
        <v>1526</v>
      </c>
      <c r="P1404" s="110">
        <v>0</v>
      </c>
    </row>
    <row r="1405" spans="1:18">
      <c r="A1405" s="14" t="s">
        <v>85</v>
      </c>
      <c r="D1405" s="18">
        <v>2</v>
      </c>
      <c r="E1405" s="26" t="str">
        <f>VLOOKUP($A1405,MATMO,2,FALSE)</f>
        <v>Ayudante</v>
      </c>
      <c r="F1405" s="311">
        <v>0.8</v>
      </c>
      <c r="G1405" s="307" t="str">
        <f>VLOOKUP($A1405,MATMO,3,FALSE)</f>
        <v>hs</v>
      </c>
      <c r="H1405" s="110">
        <f>VLOOKUP($A1405,MATMO,4,FALSE)*$Q$7</f>
        <v>46.87</v>
      </c>
      <c r="I1405" s="354" t="str">
        <f t="shared" si="266"/>
        <v>hs</v>
      </c>
      <c r="J1405" s="350">
        <f t="shared" si="267"/>
        <v>37.496000000000002</v>
      </c>
      <c r="K1405" s="360" t="s">
        <v>2299</v>
      </c>
      <c r="L1405" s="20"/>
      <c r="O1405" s="27" t="s">
        <v>1527</v>
      </c>
      <c r="P1405" s="110">
        <v>0</v>
      </c>
    </row>
    <row r="1406" spans="1:18">
      <c r="A1406" s="14" t="s">
        <v>2311</v>
      </c>
      <c r="D1406" s="18">
        <v>3</v>
      </c>
      <c r="E1406" s="26" t="str">
        <f>VLOOKUP($A1406,MATMO,2,FALSE)</f>
        <v>Cargas Sociales Oficial</v>
      </c>
      <c r="F1406" s="311">
        <f>+F1404</f>
        <v>1.65</v>
      </c>
      <c r="G1406" s="307" t="str">
        <f>VLOOKUP($A1406,MATMO,3,FALSE)</f>
        <v>hs</v>
      </c>
      <c r="H1406" s="110">
        <f>VLOOKUP($A1406,MATMO,4,FALSE)*$Q$7</f>
        <v>52.742782499999997</v>
      </c>
      <c r="I1406" s="354" t="str">
        <f t="shared" si="266"/>
        <v>hs</v>
      </c>
      <c r="J1406" s="350">
        <f t="shared" si="267"/>
        <v>87.025591124999991</v>
      </c>
      <c r="K1406" s="360" t="s">
        <v>2299</v>
      </c>
      <c r="L1406" s="20"/>
      <c r="O1406" s="27"/>
      <c r="P1406" s="110">
        <v>0</v>
      </c>
    </row>
    <row r="1407" spans="1:18">
      <c r="A1407" s="14" t="s">
        <v>2312</v>
      </c>
      <c r="D1407" s="18">
        <v>4</v>
      </c>
      <c r="E1407" s="26" t="str">
        <f>VLOOKUP($A1407,MATMO,2,FALSE)</f>
        <v>Cargas Sociales Ayudante</v>
      </c>
      <c r="F1407" s="311">
        <f>+F1405</f>
        <v>0.8</v>
      </c>
      <c r="G1407" s="307" t="str">
        <f>VLOOKUP($A1407,MATMO,3,FALSE)</f>
        <v>hs</v>
      </c>
      <c r="H1407" s="110">
        <f>VLOOKUP($A1407,MATMO,4,FALSE)*$Q$7</f>
        <v>45.108248750000001</v>
      </c>
      <c r="I1407" s="354" t="str">
        <f t="shared" si="266"/>
        <v>hs</v>
      </c>
      <c r="J1407" s="350">
        <f t="shared" si="267"/>
        <v>36.086599</v>
      </c>
      <c r="K1407" s="360" t="s">
        <v>2299</v>
      </c>
      <c r="L1407" s="20"/>
      <c r="O1407" s="27"/>
      <c r="P1407" s="110">
        <v>0</v>
      </c>
    </row>
    <row r="1408" spans="1:18" ht="16.5" thickBot="1">
      <c r="A1408" s="14" t="s">
        <v>83</v>
      </c>
      <c r="D1408" s="18">
        <v>5</v>
      </c>
      <c r="E1408" s="26" t="str">
        <f>VLOOKUP($A1408,MATMO,2,FALSE)</f>
        <v>-</v>
      </c>
      <c r="F1408" s="311"/>
      <c r="G1408" s="307" t="str">
        <f>VLOOKUP($A1408,MATMO,3,FALSE)</f>
        <v>-</v>
      </c>
      <c r="H1408" s="110">
        <f>VLOOKUP($A1408,MATMO,4,FALSE)*$Q$7</f>
        <v>0</v>
      </c>
      <c r="I1408" s="537" t="str">
        <f t="shared" si="266"/>
        <v>-</v>
      </c>
      <c r="J1408" s="538">
        <f t="shared" si="267"/>
        <v>0</v>
      </c>
      <c r="K1408" s="539" t="s">
        <v>2299</v>
      </c>
      <c r="L1408" s="20"/>
      <c r="O1408" s="27"/>
      <c r="P1408" s="110">
        <v>0</v>
      </c>
      <c r="R1408" s="29" t="s">
        <v>2307</v>
      </c>
    </row>
    <row r="1409" spans="1:19" ht="16.5" thickBot="1">
      <c r="A1409" s="14">
        <f>A1369+1</f>
        <v>30</v>
      </c>
      <c r="B1409" s="14" t="str">
        <f>"MO" &amp; TEXT(A1409,"##000")</f>
        <v>MO030</v>
      </c>
      <c r="D1409" s="18"/>
      <c r="E1409" s="591" t="s">
        <v>2301</v>
      </c>
      <c r="F1409" s="592"/>
      <c r="G1409" s="592"/>
      <c r="H1409" s="592"/>
      <c r="I1409" s="327"/>
      <c r="J1409" s="362">
        <f>SUM(J1404:J1408)</f>
        <v>251.985190125</v>
      </c>
      <c r="K1409" s="365" t="str">
        <f>+G1404</f>
        <v>hs</v>
      </c>
      <c r="L1409" s="20"/>
      <c r="N1409" s="111">
        <f>+P1409+R1409</f>
        <v>247</v>
      </c>
      <c r="O1409" s="27"/>
      <c r="P1409" s="27">
        <f>SUM(P1402:P1408)</f>
        <v>130</v>
      </c>
      <c r="Q1409" s="26">
        <v>0.9</v>
      </c>
      <c r="R1409" s="287">
        <f>+Q1409*P1409</f>
        <v>117</v>
      </c>
      <c r="S1409" s="288"/>
    </row>
    <row r="1410" spans="1:19">
      <c r="D1410" s="18"/>
      <c r="E1410" s="593" t="s">
        <v>101</v>
      </c>
      <c r="F1410" s="594"/>
      <c r="G1410" s="594"/>
      <c r="H1410" s="594"/>
      <c r="I1410" s="594"/>
      <c r="J1410" s="595"/>
      <c r="K1410" s="347"/>
      <c r="L1410" s="20"/>
      <c r="P1410" s="14" t="s">
        <v>2308</v>
      </c>
    </row>
    <row r="1411" spans="1:19">
      <c r="A1411" s="14" t="s">
        <v>119</v>
      </c>
      <c r="D1411" s="18">
        <v>1</v>
      </c>
      <c r="E1411" s="26" t="str">
        <f>VLOOKUP($A1411,MATMO,2,FALSE)</f>
        <v>Herramientas de Mano</v>
      </c>
      <c r="F1411" s="311">
        <v>1</v>
      </c>
      <c r="G1411" s="307" t="str">
        <f>VLOOKUP($A1411,MATMO,3,FALSE)</f>
        <v>gl</v>
      </c>
      <c r="H1411" s="110">
        <f>+(J1402+J1409)*$Q$5</f>
        <v>17.130907605000001</v>
      </c>
      <c r="I1411" s="345" t="str">
        <f>+G1411</f>
        <v>gl</v>
      </c>
      <c r="J1411" s="350">
        <f t="shared" ref="J1411:J1415" si="268">+H1411*F1411</f>
        <v>17.130907605000001</v>
      </c>
      <c r="K1411" s="360" t="s">
        <v>2299</v>
      </c>
      <c r="L1411" s="20"/>
      <c r="M1411" s="14" t="s">
        <v>2004</v>
      </c>
    </row>
    <row r="1412" spans="1:19">
      <c r="A1412" s="14" t="s">
        <v>118</v>
      </c>
      <c r="D1412" s="18">
        <v>2</v>
      </c>
      <c r="E1412" s="26" t="str">
        <f>VLOOKUP($A1412,MATMO,2,FALSE)</f>
        <v>-</v>
      </c>
      <c r="F1412" s="311"/>
      <c r="G1412" s="307" t="str">
        <f>VLOOKUP($A1412,MATMO,3,FALSE)</f>
        <v>-</v>
      </c>
      <c r="H1412" s="110">
        <f>VLOOKUP($A1412,MATMO,4,FALSE)*$Q$6</f>
        <v>0</v>
      </c>
      <c r="I1412" s="543" t="str">
        <f t="shared" ref="I1412:I1415" si="269">+G1412</f>
        <v>-</v>
      </c>
      <c r="J1412" s="538">
        <f t="shared" si="268"/>
        <v>0</v>
      </c>
      <c r="K1412" s="539" t="s">
        <v>2299</v>
      </c>
      <c r="L1412" s="20"/>
    </row>
    <row r="1413" spans="1:19">
      <c r="A1413" s="14" t="s">
        <v>118</v>
      </c>
      <c r="D1413" s="18">
        <v>3</v>
      </c>
      <c r="E1413" s="26" t="str">
        <f>VLOOKUP($A1413,MATMO,2,FALSE)</f>
        <v>-</v>
      </c>
      <c r="F1413" s="311"/>
      <c r="G1413" s="307" t="str">
        <f>VLOOKUP($A1413,MATMO,3,FALSE)</f>
        <v>-</v>
      </c>
      <c r="H1413" s="110">
        <f>VLOOKUP($A1413,MATMO,4,FALSE)*$Q$6</f>
        <v>0</v>
      </c>
      <c r="I1413" s="543" t="str">
        <f t="shared" si="269"/>
        <v>-</v>
      </c>
      <c r="J1413" s="538">
        <f t="shared" si="268"/>
        <v>0</v>
      </c>
      <c r="K1413" s="539" t="s">
        <v>2299</v>
      </c>
      <c r="L1413" s="20"/>
    </row>
    <row r="1414" spans="1:19">
      <c r="A1414" s="14" t="s">
        <v>118</v>
      </c>
      <c r="D1414" s="18">
        <v>4</v>
      </c>
      <c r="E1414" s="26" t="str">
        <f>VLOOKUP($A1414,MATMO,2,FALSE)</f>
        <v>-</v>
      </c>
      <c r="F1414" s="311"/>
      <c r="G1414" s="307" t="str">
        <f>VLOOKUP($A1414,MATMO,3,FALSE)</f>
        <v>-</v>
      </c>
      <c r="H1414" s="110">
        <f>VLOOKUP($A1414,MATMO,4,FALSE)*$Q$6</f>
        <v>0</v>
      </c>
      <c r="I1414" s="543" t="str">
        <f t="shared" si="269"/>
        <v>-</v>
      </c>
      <c r="J1414" s="538">
        <f t="shared" si="268"/>
        <v>0</v>
      </c>
      <c r="K1414" s="539" t="s">
        <v>2299</v>
      </c>
      <c r="L1414" s="20"/>
    </row>
    <row r="1415" spans="1:19">
      <c r="A1415" s="14" t="s">
        <v>118</v>
      </c>
      <c r="D1415" s="18">
        <v>5</v>
      </c>
      <c r="E1415" s="26" t="str">
        <f>VLOOKUP($A1415,MATMO,2,FALSE)</f>
        <v>-</v>
      </c>
      <c r="F1415" s="311"/>
      <c r="G1415" s="307" t="str">
        <f>VLOOKUP($A1415,MATMO,3,FALSE)</f>
        <v>-</v>
      </c>
      <c r="H1415" s="110">
        <f>VLOOKUP($A1415,MATMO,4,FALSE)*$Q$6</f>
        <v>0</v>
      </c>
      <c r="I1415" s="543" t="str">
        <f t="shared" si="269"/>
        <v>-</v>
      </c>
      <c r="J1415" s="538">
        <f t="shared" si="268"/>
        <v>0</v>
      </c>
      <c r="K1415" s="539" t="s">
        <v>2299</v>
      </c>
      <c r="L1415" s="20"/>
    </row>
    <row r="1416" spans="1:19">
      <c r="A1416" s="14">
        <f>A1369+1</f>
        <v>30</v>
      </c>
      <c r="B1416" s="14" t="str">
        <f>"E" &amp; TEXT(A1416,"##000")</f>
        <v>E030</v>
      </c>
      <c r="D1416" s="18"/>
      <c r="E1416" s="591" t="s">
        <v>2300</v>
      </c>
      <c r="F1416" s="592"/>
      <c r="G1416" s="592"/>
      <c r="H1416" s="592"/>
      <c r="I1416" s="327"/>
      <c r="J1416" s="362">
        <f>SUM(J1411:J1415)</f>
        <v>17.130907605000001</v>
      </c>
      <c r="K1416" s="365" t="s">
        <v>116</v>
      </c>
      <c r="L1416" s="20"/>
    </row>
    <row r="1417" spans="1:19">
      <c r="D1417" s="18"/>
      <c r="E1417" s="596"/>
      <c r="F1417" s="597"/>
      <c r="G1417" s="597"/>
      <c r="H1417" s="597"/>
      <c r="I1417" s="597"/>
      <c r="J1417" s="598"/>
      <c r="K1417" s="348"/>
      <c r="L1417" s="20"/>
    </row>
    <row r="1418" spans="1:19">
      <c r="D1418" s="18"/>
      <c r="E1418" s="591" t="s">
        <v>2306</v>
      </c>
      <c r="F1418" s="592"/>
      <c r="G1418" s="592"/>
      <c r="H1418" s="592"/>
      <c r="I1418" s="327"/>
      <c r="J1418" s="308">
        <f>+J1416+J1409+J1402</f>
        <v>445.40359773</v>
      </c>
      <c r="K1418" s="365" t="str">
        <f>+F1379</f>
        <v>m2</v>
      </c>
      <c r="L1418" s="20"/>
    </row>
    <row r="1419" spans="1:19">
      <c r="D1419" s="18"/>
      <c r="E1419" s="591" t="s">
        <v>2305</v>
      </c>
      <c r="F1419" s="592"/>
      <c r="G1419" s="592"/>
      <c r="H1419" s="592"/>
      <c r="I1419" s="406">
        <f>+$Q$9</f>
        <v>1.6902999999999999</v>
      </c>
      <c r="J1419" s="308">
        <f>+$Q$9*J1418</f>
        <v>752.86570124301898</v>
      </c>
      <c r="K1419" s="365" t="str">
        <f>+F1379</f>
        <v>m2</v>
      </c>
      <c r="L1419" s="20"/>
    </row>
    <row r="1420" spans="1:19">
      <c r="A1420" s="14">
        <f>A1373+1</f>
        <v>30</v>
      </c>
      <c r="B1420" s="14" t="str">
        <f>"TR" &amp; TEXT(A1420,"##000")</f>
        <v>TR030</v>
      </c>
      <c r="C1420" s="14">
        <f>+C1373+1</f>
        <v>30</v>
      </c>
      <c r="D1420" s="18"/>
      <c r="E1420" s="591" t="s">
        <v>2304</v>
      </c>
      <c r="F1420" s="592"/>
      <c r="G1420" s="592"/>
      <c r="H1420" s="592"/>
      <c r="I1420" s="327"/>
      <c r="J1420" s="308">
        <f>+J1419</f>
        <v>752.86570124301898</v>
      </c>
      <c r="K1420" s="365" t="str">
        <f>+F1379</f>
        <v>m2</v>
      </c>
      <c r="L1420" s="20"/>
    </row>
    <row r="1421" spans="1:19" ht="16.5" thickBot="1">
      <c r="D1421" s="21"/>
      <c r="E1421" s="30"/>
      <c r="F1421" s="30"/>
      <c r="G1421" s="30"/>
      <c r="H1421" s="30"/>
      <c r="I1421" s="30"/>
      <c r="J1421" s="30"/>
      <c r="K1421" s="349"/>
      <c r="L1421" s="22"/>
    </row>
    <row r="1422" spans="1:19" ht="16.5" thickTop="1">
      <c r="D1422" s="15"/>
      <c r="E1422" s="16"/>
      <c r="F1422" s="16"/>
      <c r="G1422" s="16"/>
      <c r="H1422" s="16"/>
      <c r="I1422" s="16"/>
      <c r="J1422" s="16"/>
      <c r="K1422" s="16"/>
      <c r="L1422" s="17"/>
    </row>
    <row r="1423" spans="1:19">
      <c r="A1423" s="14" t="s">
        <v>1846</v>
      </c>
      <c r="D1423" s="18"/>
      <c r="E1423" s="23" t="s">
        <v>95</v>
      </c>
      <c r="F1423" s="24" t="str">
        <f>VLOOKUP($A1423,DATRUB,3,FALSE)</f>
        <v>RUBRO VII:</v>
      </c>
      <c r="G1423" s="599" t="str">
        <f>VLOOKUP($A1423,DATRUB,4,FALSE)</f>
        <v>CONTRAPISOS, CARPETAS, PISOS, UMBRALES y ZÓCALOS,</v>
      </c>
      <c r="H1423" s="599"/>
      <c r="I1423" s="599"/>
      <c r="J1423" s="599"/>
      <c r="K1423" s="599"/>
      <c r="L1423" s="20"/>
    </row>
    <row r="1424" spans="1:19" ht="35.1" customHeight="1">
      <c r="A1424" s="14" t="s">
        <v>1851</v>
      </c>
      <c r="D1424" s="18"/>
      <c r="E1424" s="23" t="s">
        <v>96</v>
      </c>
      <c r="F1424" s="399">
        <f>VLOOKUP($A1424,DATRUB,3,FALSE)</f>
        <v>7.5</v>
      </c>
      <c r="G1424" s="599" t="str">
        <f>VLOOKUP($A1424,DATRUB,4,FALSE)</f>
        <v>De Cerámico 20 x 20 p/ sanitarios</v>
      </c>
      <c r="H1424" s="599"/>
      <c r="I1424" s="599"/>
      <c r="J1424" s="599"/>
      <c r="K1424" s="599"/>
      <c r="L1424" s="20"/>
    </row>
    <row r="1425" spans="1:13" ht="35.1" customHeight="1">
      <c r="A1425" s="14" t="s">
        <v>1851</v>
      </c>
      <c r="D1425" s="18"/>
      <c r="E1425" s="23" t="s">
        <v>97</v>
      </c>
      <c r="F1425" s="399">
        <f>VLOOKUP($A1425,DATRUB,3,FALSE)</f>
        <v>7.5</v>
      </c>
      <c r="G1425" s="599" t="str">
        <f>VLOOKUP($A1425,DATRUB,4,FALSE)</f>
        <v>De Cerámico 20 x 20 p/ sanitarios</v>
      </c>
      <c r="H1425" s="599"/>
      <c r="I1425" s="599"/>
      <c r="J1425" s="599"/>
      <c r="K1425" s="599"/>
      <c r="L1425" s="20"/>
    </row>
    <row r="1426" spans="1:13">
      <c r="D1426" s="18"/>
      <c r="E1426" s="23" t="s">
        <v>98</v>
      </c>
      <c r="F1426" s="24" t="str">
        <f>VLOOKUP($A1425,DATRUB,5,FALSE)</f>
        <v>m2</v>
      </c>
      <c r="G1426" s="600"/>
      <c r="H1426" s="600"/>
      <c r="I1426" s="600"/>
      <c r="J1426" s="600"/>
      <c r="K1426" s="600"/>
      <c r="L1426" s="20"/>
    </row>
    <row r="1427" spans="1:13">
      <c r="D1427" s="18"/>
      <c r="E1427" s="24" t="s">
        <v>1158</v>
      </c>
      <c r="F1427" s="25" t="s">
        <v>1250</v>
      </c>
      <c r="G1427" s="24" t="s">
        <v>24</v>
      </c>
      <c r="H1427" s="24" t="s">
        <v>25</v>
      </c>
      <c r="I1427" s="24" t="s">
        <v>24</v>
      </c>
      <c r="J1427" s="24" t="s">
        <v>2298</v>
      </c>
      <c r="K1427" s="24" t="s">
        <v>24</v>
      </c>
      <c r="L1427" s="20"/>
    </row>
    <row r="1428" spans="1:13">
      <c r="D1428" s="18"/>
      <c r="E1428" s="593" t="s">
        <v>99</v>
      </c>
      <c r="F1428" s="594"/>
      <c r="G1428" s="594"/>
      <c r="H1428" s="594"/>
      <c r="I1428" s="594"/>
      <c r="J1428" s="594"/>
      <c r="K1428" s="595"/>
      <c r="L1428" s="20"/>
    </row>
    <row r="1429" spans="1:13">
      <c r="A1429" s="14" t="s">
        <v>2470</v>
      </c>
      <c r="D1429" s="18">
        <v>1</v>
      </c>
      <c r="E1429" s="355" t="str">
        <f t="shared" ref="E1429:E1448" si="270">VLOOKUP($A1429,MATMO,2,FALSE)</f>
        <v>Pegamento para cerámico</v>
      </c>
      <c r="F1429" s="356">
        <v>7.5</v>
      </c>
      <c r="G1429" s="357" t="str">
        <f t="shared" ref="G1429:G1448" si="271">VLOOKUP($A1429,MATMO,3,FALSE)</f>
        <v>kg</v>
      </c>
      <c r="H1429" s="358">
        <f t="shared" ref="H1429:H1448" si="272">VLOOKUP($A1429,MATMO,4,FALSE)*$Q$6</f>
        <v>3.7</v>
      </c>
      <c r="I1429" s="359" t="str">
        <f t="shared" ref="I1429:I1448" si="273">+G1429</f>
        <v>kg</v>
      </c>
      <c r="J1429" s="361">
        <f>+H1429*F1429</f>
        <v>27.75</v>
      </c>
      <c r="K1429" s="360" t="s">
        <v>2299</v>
      </c>
      <c r="L1429" s="20"/>
      <c r="M1429" s="14" t="s">
        <v>2005</v>
      </c>
    </row>
    <row r="1430" spans="1:13">
      <c r="A1430" s="14" t="s">
        <v>2467</v>
      </c>
      <c r="D1430" s="18">
        <v>2</v>
      </c>
      <c r="E1430" s="26" t="str">
        <f t="shared" si="270"/>
        <v>Pastina</v>
      </c>
      <c r="F1430" s="311">
        <v>0.3</v>
      </c>
      <c r="G1430" s="307" t="str">
        <f t="shared" si="271"/>
        <v>kg</v>
      </c>
      <c r="H1430" s="351">
        <f t="shared" si="272"/>
        <v>18.649999999999999</v>
      </c>
      <c r="I1430" s="354" t="str">
        <f t="shared" si="273"/>
        <v>kg</v>
      </c>
      <c r="J1430" s="350">
        <f t="shared" ref="J1430:J1448" si="274">+H1430*F1430</f>
        <v>5.5949999999999998</v>
      </c>
      <c r="K1430" s="360" t="s">
        <v>2299</v>
      </c>
      <c r="L1430" s="20"/>
    </row>
    <row r="1431" spans="1:13">
      <c r="A1431" s="14" t="s">
        <v>2468</v>
      </c>
      <c r="D1431" s="18">
        <v>3</v>
      </c>
      <c r="E1431" s="26" t="str">
        <f t="shared" si="270"/>
        <v>Ceramica 20 x 20</v>
      </c>
      <c r="F1431" s="311">
        <v>1.2</v>
      </c>
      <c r="G1431" s="307" t="str">
        <f t="shared" si="271"/>
        <v>m²</v>
      </c>
      <c r="H1431" s="351">
        <f t="shared" si="272"/>
        <v>100</v>
      </c>
      <c r="I1431" s="354" t="str">
        <f t="shared" si="273"/>
        <v>m²</v>
      </c>
      <c r="J1431" s="350">
        <f t="shared" si="274"/>
        <v>120</v>
      </c>
      <c r="K1431" s="360" t="s">
        <v>2299</v>
      </c>
      <c r="L1431" s="20"/>
    </row>
    <row r="1432" spans="1:13">
      <c r="A1432" s="14" t="s">
        <v>2469</v>
      </c>
      <c r="D1432" s="18">
        <v>4</v>
      </c>
      <c r="E1432" s="26" t="str">
        <f t="shared" si="270"/>
        <v>Junta de Aluminio 10*10</v>
      </c>
      <c r="F1432" s="311">
        <v>0.3</v>
      </c>
      <c r="G1432" s="307" t="str">
        <f t="shared" si="271"/>
        <v>ml</v>
      </c>
      <c r="H1432" s="351">
        <f t="shared" si="272"/>
        <v>11.726000000000001</v>
      </c>
      <c r="I1432" s="354" t="str">
        <f t="shared" si="273"/>
        <v>ml</v>
      </c>
      <c r="J1432" s="350">
        <f t="shared" si="274"/>
        <v>3.5178000000000003</v>
      </c>
      <c r="K1432" s="360" t="s">
        <v>2299</v>
      </c>
      <c r="L1432" s="20"/>
    </row>
    <row r="1433" spans="1:13">
      <c r="A1433" s="14" t="s">
        <v>31</v>
      </c>
      <c r="D1433" s="18">
        <v>5</v>
      </c>
      <c r="E1433" s="26" t="str">
        <f t="shared" si="270"/>
        <v>-</v>
      </c>
      <c r="F1433" s="311"/>
      <c r="G1433" s="307" t="str">
        <f t="shared" si="271"/>
        <v>-</v>
      </c>
      <c r="H1433" s="351">
        <f t="shared" si="272"/>
        <v>0</v>
      </c>
      <c r="I1433" s="537" t="str">
        <f t="shared" si="273"/>
        <v>-</v>
      </c>
      <c r="J1433" s="538">
        <f t="shared" si="274"/>
        <v>0</v>
      </c>
      <c r="K1433" s="539" t="s">
        <v>2299</v>
      </c>
      <c r="L1433" s="20"/>
    </row>
    <row r="1434" spans="1:13">
      <c r="A1434" s="14" t="s">
        <v>31</v>
      </c>
      <c r="D1434" s="18">
        <v>6</v>
      </c>
      <c r="E1434" s="26" t="str">
        <f t="shared" si="270"/>
        <v>-</v>
      </c>
      <c r="F1434" s="311"/>
      <c r="G1434" s="307" t="str">
        <f t="shared" si="271"/>
        <v>-</v>
      </c>
      <c r="H1434" s="351">
        <f t="shared" si="272"/>
        <v>0</v>
      </c>
      <c r="I1434" s="537" t="str">
        <f t="shared" si="273"/>
        <v>-</v>
      </c>
      <c r="J1434" s="538">
        <f t="shared" si="274"/>
        <v>0</v>
      </c>
      <c r="K1434" s="539" t="s">
        <v>2299</v>
      </c>
      <c r="L1434" s="20"/>
    </row>
    <row r="1435" spans="1:13">
      <c r="A1435" s="14" t="s">
        <v>31</v>
      </c>
      <c r="D1435" s="18">
        <v>7</v>
      </c>
      <c r="E1435" s="26" t="str">
        <f t="shared" si="270"/>
        <v>-</v>
      </c>
      <c r="F1435" s="311"/>
      <c r="G1435" s="307" t="str">
        <f t="shared" si="271"/>
        <v>-</v>
      </c>
      <c r="H1435" s="351">
        <f t="shared" si="272"/>
        <v>0</v>
      </c>
      <c r="I1435" s="537" t="str">
        <f t="shared" si="273"/>
        <v>-</v>
      </c>
      <c r="J1435" s="538">
        <f t="shared" si="274"/>
        <v>0</v>
      </c>
      <c r="K1435" s="539" t="s">
        <v>2299</v>
      </c>
      <c r="L1435" s="20"/>
    </row>
    <row r="1436" spans="1:13">
      <c r="A1436" s="14" t="s">
        <v>31</v>
      </c>
      <c r="D1436" s="18">
        <v>8</v>
      </c>
      <c r="E1436" s="26" t="str">
        <f t="shared" si="270"/>
        <v>-</v>
      </c>
      <c r="F1436" s="311"/>
      <c r="G1436" s="307" t="str">
        <f t="shared" si="271"/>
        <v>-</v>
      </c>
      <c r="H1436" s="351">
        <f t="shared" si="272"/>
        <v>0</v>
      </c>
      <c r="I1436" s="537" t="str">
        <f t="shared" si="273"/>
        <v>-</v>
      </c>
      <c r="J1436" s="538">
        <f t="shared" si="274"/>
        <v>0</v>
      </c>
      <c r="K1436" s="539" t="s">
        <v>2299</v>
      </c>
      <c r="L1436" s="20"/>
    </row>
    <row r="1437" spans="1:13">
      <c r="A1437" s="14" t="s">
        <v>31</v>
      </c>
      <c r="D1437" s="18">
        <v>9</v>
      </c>
      <c r="E1437" s="26" t="str">
        <f t="shared" si="270"/>
        <v>-</v>
      </c>
      <c r="F1437" s="311"/>
      <c r="G1437" s="307" t="str">
        <f t="shared" si="271"/>
        <v>-</v>
      </c>
      <c r="H1437" s="351">
        <f t="shared" si="272"/>
        <v>0</v>
      </c>
      <c r="I1437" s="537" t="str">
        <f t="shared" si="273"/>
        <v>-</v>
      </c>
      <c r="J1437" s="538">
        <f t="shared" si="274"/>
        <v>0</v>
      </c>
      <c r="K1437" s="539" t="s">
        <v>2299</v>
      </c>
      <c r="L1437" s="20"/>
    </row>
    <row r="1438" spans="1:13">
      <c r="A1438" s="14" t="s">
        <v>31</v>
      </c>
      <c r="D1438" s="18">
        <v>10</v>
      </c>
      <c r="E1438" s="26" t="str">
        <f t="shared" si="270"/>
        <v>-</v>
      </c>
      <c r="F1438" s="311"/>
      <c r="G1438" s="307" t="str">
        <f t="shared" si="271"/>
        <v>-</v>
      </c>
      <c r="H1438" s="351">
        <f t="shared" si="272"/>
        <v>0</v>
      </c>
      <c r="I1438" s="537" t="str">
        <f t="shared" si="273"/>
        <v>-</v>
      </c>
      <c r="J1438" s="538">
        <f t="shared" si="274"/>
        <v>0</v>
      </c>
      <c r="K1438" s="539" t="s">
        <v>2299</v>
      </c>
      <c r="L1438" s="20"/>
    </row>
    <row r="1439" spans="1:13">
      <c r="A1439" s="14" t="s">
        <v>31</v>
      </c>
      <c r="D1439" s="18">
        <v>11</v>
      </c>
      <c r="E1439" s="26" t="str">
        <f t="shared" si="270"/>
        <v>-</v>
      </c>
      <c r="F1439" s="311"/>
      <c r="G1439" s="307" t="str">
        <f t="shared" si="271"/>
        <v>-</v>
      </c>
      <c r="H1439" s="351">
        <f t="shared" si="272"/>
        <v>0</v>
      </c>
      <c r="I1439" s="537" t="str">
        <f t="shared" si="273"/>
        <v>-</v>
      </c>
      <c r="J1439" s="538">
        <f t="shared" si="274"/>
        <v>0</v>
      </c>
      <c r="K1439" s="539" t="s">
        <v>2299</v>
      </c>
      <c r="L1439" s="20"/>
    </row>
    <row r="1440" spans="1:13">
      <c r="A1440" s="14" t="s">
        <v>31</v>
      </c>
      <c r="D1440" s="18">
        <v>12</v>
      </c>
      <c r="E1440" s="26" t="str">
        <f t="shared" si="270"/>
        <v>-</v>
      </c>
      <c r="F1440" s="311"/>
      <c r="G1440" s="307" t="str">
        <f t="shared" si="271"/>
        <v>-</v>
      </c>
      <c r="H1440" s="352">
        <f t="shared" si="272"/>
        <v>0</v>
      </c>
      <c r="I1440" s="537" t="str">
        <f t="shared" si="273"/>
        <v>-</v>
      </c>
      <c r="J1440" s="538">
        <f t="shared" si="274"/>
        <v>0</v>
      </c>
      <c r="K1440" s="539" t="s">
        <v>2299</v>
      </c>
      <c r="L1440" s="20"/>
    </row>
    <row r="1441" spans="1:19">
      <c r="A1441" s="14" t="s">
        <v>31</v>
      </c>
      <c r="D1441" s="18">
        <v>13</v>
      </c>
      <c r="E1441" s="26" t="str">
        <f t="shared" si="270"/>
        <v>-</v>
      </c>
      <c r="F1441" s="311"/>
      <c r="G1441" s="307" t="str">
        <f t="shared" si="271"/>
        <v>-</v>
      </c>
      <c r="H1441" s="352">
        <f t="shared" si="272"/>
        <v>0</v>
      </c>
      <c r="I1441" s="537" t="str">
        <f t="shared" si="273"/>
        <v>-</v>
      </c>
      <c r="J1441" s="538">
        <f t="shared" si="274"/>
        <v>0</v>
      </c>
      <c r="K1441" s="539" t="s">
        <v>2299</v>
      </c>
      <c r="L1441" s="20"/>
    </row>
    <row r="1442" spans="1:19">
      <c r="A1442" s="14" t="s">
        <v>31</v>
      </c>
      <c r="D1442" s="18">
        <v>14</v>
      </c>
      <c r="E1442" s="26" t="str">
        <f t="shared" si="270"/>
        <v>-</v>
      </c>
      <c r="F1442" s="311"/>
      <c r="G1442" s="307" t="str">
        <f t="shared" si="271"/>
        <v>-</v>
      </c>
      <c r="H1442" s="352">
        <f t="shared" si="272"/>
        <v>0</v>
      </c>
      <c r="I1442" s="537" t="str">
        <f t="shared" si="273"/>
        <v>-</v>
      </c>
      <c r="J1442" s="538">
        <f t="shared" si="274"/>
        <v>0</v>
      </c>
      <c r="K1442" s="539" t="s">
        <v>2299</v>
      </c>
      <c r="L1442" s="20"/>
    </row>
    <row r="1443" spans="1:19">
      <c r="A1443" s="14" t="s">
        <v>31</v>
      </c>
      <c r="D1443" s="18">
        <v>15</v>
      </c>
      <c r="E1443" s="26" t="str">
        <f t="shared" si="270"/>
        <v>-</v>
      </c>
      <c r="F1443" s="311"/>
      <c r="G1443" s="307" t="str">
        <f t="shared" si="271"/>
        <v>-</v>
      </c>
      <c r="H1443" s="352">
        <f t="shared" si="272"/>
        <v>0</v>
      </c>
      <c r="I1443" s="537" t="str">
        <f t="shared" si="273"/>
        <v>-</v>
      </c>
      <c r="J1443" s="538">
        <f t="shared" si="274"/>
        <v>0</v>
      </c>
      <c r="K1443" s="539" t="s">
        <v>2299</v>
      </c>
      <c r="L1443" s="20"/>
    </row>
    <row r="1444" spans="1:19">
      <c r="A1444" s="14" t="s">
        <v>31</v>
      </c>
      <c r="D1444" s="18">
        <v>16</v>
      </c>
      <c r="E1444" s="26" t="str">
        <f t="shared" si="270"/>
        <v>-</v>
      </c>
      <c r="F1444" s="311"/>
      <c r="G1444" s="307" t="str">
        <f t="shared" si="271"/>
        <v>-</v>
      </c>
      <c r="H1444" s="352">
        <f t="shared" si="272"/>
        <v>0</v>
      </c>
      <c r="I1444" s="537" t="str">
        <f t="shared" si="273"/>
        <v>-</v>
      </c>
      <c r="J1444" s="538">
        <f t="shared" si="274"/>
        <v>0</v>
      </c>
      <c r="K1444" s="539" t="s">
        <v>2299</v>
      </c>
      <c r="L1444" s="20"/>
    </row>
    <row r="1445" spans="1:19">
      <c r="A1445" s="14" t="s">
        <v>31</v>
      </c>
      <c r="D1445" s="18">
        <v>17</v>
      </c>
      <c r="E1445" s="26" t="str">
        <f t="shared" si="270"/>
        <v>-</v>
      </c>
      <c r="F1445" s="311"/>
      <c r="G1445" s="307" t="str">
        <f t="shared" si="271"/>
        <v>-</v>
      </c>
      <c r="H1445" s="352">
        <f t="shared" si="272"/>
        <v>0</v>
      </c>
      <c r="I1445" s="537" t="str">
        <f t="shared" si="273"/>
        <v>-</v>
      </c>
      <c r="J1445" s="538">
        <f t="shared" si="274"/>
        <v>0</v>
      </c>
      <c r="K1445" s="539" t="s">
        <v>2299</v>
      </c>
      <c r="L1445" s="20"/>
    </row>
    <row r="1446" spans="1:19">
      <c r="A1446" s="14" t="s">
        <v>31</v>
      </c>
      <c r="D1446" s="18">
        <v>18</v>
      </c>
      <c r="E1446" s="26" t="str">
        <f t="shared" si="270"/>
        <v>-</v>
      </c>
      <c r="F1446" s="311"/>
      <c r="G1446" s="307" t="str">
        <f t="shared" si="271"/>
        <v>-</v>
      </c>
      <c r="H1446" s="352">
        <f t="shared" si="272"/>
        <v>0</v>
      </c>
      <c r="I1446" s="537" t="str">
        <f t="shared" si="273"/>
        <v>-</v>
      </c>
      <c r="J1446" s="538">
        <f t="shared" si="274"/>
        <v>0</v>
      </c>
      <c r="K1446" s="539" t="s">
        <v>2299</v>
      </c>
      <c r="L1446" s="20"/>
    </row>
    <row r="1447" spans="1:19">
      <c r="A1447" s="14" t="s">
        <v>31</v>
      </c>
      <c r="D1447" s="18">
        <v>19</v>
      </c>
      <c r="E1447" s="26" t="str">
        <f t="shared" si="270"/>
        <v>-</v>
      </c>
      <c r="F1447" s="311"/>
      <c r="G1447" s="307" t="str">
        <f t="shared" si="271"/>
        <v>-</v>
      </c>
      <c r="H1447" s="352">
        <f t="shared" si="272"/>
        <v>0</v>
      </c>
      <c r="I1447" s="537" t="str">
        <f t="shared" si="273"/>
        <v>-</v>
      </c>
      <c r="J1447" s="538">
        <f t="shared" si="274"/>
        <v>0</v>
      </c>
      <c r="K1447" s="539" t="s">
        <v>2299</v>
      </c>
      <c r="L1447" s="20"/>
    </row>
    <row r="1448" spans="1:19">
      <c r="A1448" s="14" t="s">
        <v>31</v>
      </c>
      <c r="D1448" s="18">
        <v>20</v>
      </c>
      <c r="E1448" s="26" t="str">
        <f t="shared" si="270"/>
        <v>-</v>
      </c>
      <c r="F1448" s="311"/>
      <c r="G1448" s="307" t="str">
        <f t="shared" si="271"/>
        <v>-</v>
      </c>
      <c r="H1448" s="352">
        <f t="shared" si="272"/>
        <v>0</v>
      </c>
      <c r="I1448" s="537" t="str">
        <f t="shared" si="273"/>
        <v>-</v>
      </c>
      <c r="J1448" s="541">
        <f t="shared" si="274"/>
        <v>0</v>
      </c>
      <c r="K1448" s="539" t="s">
        <v>2299</v>
      </c>
      <c r="L1448" s="20"/>
    </row>
    <row r="1449" spans="1:19">
      <c r="A1449" s="14">
        <f>A1416+1</f>
        <v>31</v>
      </c>
      <c r="B1449" s="14" t="str">
        <f>"MA" &amp; TEXT(A1449,"##000")</f>
        <v>MA031</v>
      </c>
      <c r="D1449" s="18"/>
      <c r="E1449" s="591" t="s">
        <v>2302</v>
      </c>
      <c r="F1449" s="592"/>
      <c r="G1449" s="592"/>
      <c r="H1449" s="592"/>
      <c r="I1449" s="327"/>
      <c r="J1449" s="353">
        <f>SUM(J1429:J1448)</f>
        <v>156.86279999999999</v>
      </c>
      <c r="K1449" s="365" t="str">
        <f>+F1426</f>
        <v>m2</v>
      </c>
      <c r="L1449" s="20"/>
      <c r="O1449" s="27" t="s">
        <v>1525</v>
      </c>
      <c r="P1449" s="110">
        <v>60</v>
      </c>
    </row>
    <row r="1450" spans="1:19">
      <c r="D1450" s="18"/>
      <c r="E1450" s="593" t="s">
        <v>100</v>
      </c>
      <c r="F1450" s="594"/>
      <c r="G1450" s="594"/>
      <c r="H1450" s="594"/>
      <c r="I1450" s="594"/>
      <c r="J1450" s="595"/>
      <c r="K1450" s="347"/>
      <c r="L1450" s="20"/>
      <c r="O1450" s="27" t="s">
        <v>1524</v>
      </c>
      <c r="P1450" s="110">
        <v>0</v>
      </c>
    </row>
    <row r="1451" spans="1:19">
      <c r="A1451" s="14" t="s">
        <v>84</v>
      </c>
      <c r="D1451" s="18">
        <v>1</v>
      </c>
      <c r="E1451" s="26" t="str">
        <f>VLOOKUP($A1451,MATMO,2,FALSE)</f>
        <v>Oficial</v>
      </c>
      <c r="F1451" s="311">
        <v>0.8</v>
      </c>
      <c r="G1451" s="307" t="str">
        <f>VLOOKUP($A1451,MATMO,3,FALSE)</f>
        <v>hs</v>
      </c>
      <c r="H1451" s="110">
        <f>VLOOKUP($A1451,MATMO,4,FALSE)*$Q$7</f>
        <v>55.38</v>
      </c>
      <c r="I1451" s="354" t="str">
        <f t="shared" ref="I1451:I1455" si="275">+G1451</f>
        <v>hs</v>
      </c>
      <c r="J1451" s="350">
        <f t="shared" ref="J1451:J1455" si="276">+H1451*F1451</f>
        <v>44.304000000000002</v>
      </c>
      <c r="K1451" s="360" t="s">
        <v>2299</v>
      </c>
      <c r="L1451" s="20"/>
      <c r="M1451" s="14" t="s">
        <v>2006</v>
      </c>
      <c r="O1451" s="27" t="s">
        <v>1526</v>
      </c>
      <c r="P1451" s="110">
        <v>0</v>
      </c>
    </row>
    <row r="1452" spans="1:19">
      <c r="A1452" s="14" t="s">
        <v>85</v>
      </c>
      <c r="D1452" s="18">
        <v>2</v>
      </c>
      <c r="E1452" s="26" t="str">
        <f>VLOOKUP($A1452,MATMO,2,FALSE)</f>
        <v>Ayudante</v>
      </c>
      <c r="F1452" s="311">
        <v>0.3</v>
      </c>
      <c r="G1452" s="307" t="str">
        <f>VLOOKUP($A1452,MATMO,3,FALSE)</f>
        <v>hs</v>
      </c>
      <c r="H1452" s="110">
        <f>VLOOKUP($A1452,MATMO,4,FALSE)*$Q$7</f>
        <v>46.87</v>
      </c>
      <c r="I1452" s="354" t="str">
        <f t="shared" si="275"/>
        <v>hs</v>
      </c>
      <c r="J1452" s="350">
        <f t="shared" si="276"/>
        <v>14.060999999999998</v>
      </c>
      <c r="K1452" s="360" t="s">
        <v>2299</v>
      </c>
      <c r="L1452" s="20"/>
      <c r="O1452" s="27" t="s">
        <v>1527</v>
      </c>
      <c r="P1452" s="110">
        <v>0</v>
      </c>
    </row>
    <row r="1453" spans="1:19">
      <c r="A1453" s="14" t="s">
        <v>2311</v>
      </c>
      <c r="D1453" s="18">
        <v>3</v>
      </c>
      <c r="E1453" s="26" t="str">
        <f>VLOOKUP($A1453,MATMO,2,FALSE)</f>
        <v>Cargas Sociales Oficial</v>
      </c>
      <c r="F1453" s="311">
        <f>+F1451</f>
        <v>0.8</v>
      </c>
      <c r="G1453" s="307" t="str">
        <f>VLOOKUP($A1453,MATMO,3,FALSE)</f>
        <v>hs</v>
      </c>
      <c r="H1453" s="110">
        <f>VLOOKUP($A1453,MATMO,4,FALSE)*$Q$7</f>
        <v>52.742782499999997</v>
      </c>
      <c r="I1453" s="354" t="str">
        <f t="shared" si="275"/>
        <v>hs</v>
      </c>
      <c r="J1453" s="350">
        <f t="shared" si="276"/>
        <v>42.194226</v>
      </c>
      <c r="K1453" s="360" t="s">
        <v>2299</v>
      </c>
      <c r="L1453" s="20"/>
      <c r="O1453" s="27"/>
      <c r="P1453" s="110">
        <v>0</v>
      </c>
    </row>
    <row r="1454" spans="1:19">
      <c r="A1454" s="14" t="s">
        <v>2312</v>
      </c>
      <c r="D1454" s="18">
        <v>4</v>
      </c>
      <c r="E1454" s="26" t="str">
        <f>VLOOKUP($A1454,MATMO,2,FALSE)</f>
        <v>Cargas Sociales Ayudante</v>
      </c>
      <c r="F1454" s="311">
        <f>+F1452</f>
        <v>0.3</v>
      </c>
      <c r="G1454" s="307" t="str">
        <f>VLOOKUP($A1454,MATMO,3,FALSE)</f>
        <v>hs</v>
      </c>
      <c r="H1454" s="110">
        <f>VLOOKUP($A1454,MATMO,4,FALSE)*$Q$7</f>
        <v>45.108248750000001</v>
      </c>
      <c r="I1454" s="354" t="str">
        <f t="shared" si="275"/>
        <v>hs</v>
      </c>
      <c r="J1454" s="350">
        <f t="shared" si="276"/>
        <v>13.532474625000001</v>
      </c>
      <c r="K1454" s="360" t="s">
        <v>2299</v>
      </c>
      <c r="L1454" s="20"/>
      <c r="O1454" s="27"/>
      <c r="P1454" s="110">
        <v>0</v>
      </c>
    </row>
    <row r="1455" spans="1:19" ht="16.5" thickBot="1">
      <c r="A1455" s="14" t="s">
        <v>83</v>
      </c>
      <c r="D1455" s="18">
        <v>5</v>
      </c>
      <c r="E1455" s="26" t="str">
        <f>VLOOKUP($A1455,MATMO,2,FALSE)</f>
        <v>-</v>
      </c>
      <c r="F1455" s="311"/>
      <c r="G1455" s="307" t="str">
        <f>VLOOKUP($A1455,MATMO,3,FALSE)</f>
        <v>-</v>
      </c>
      <c r="H1455" s="110">
        <f>VLOOKUP($A1455,MATMO,4,FALSE)*$Q$7</f>
        <v>0</v>
      </c>
      <c r="I1455" s="537" t="str">
        <f t="shared" si="275"/>
        <v>-</v>
      </c>
      <c r="J1455" s="538">
        <f t="shared" si="276"/>
        <v>0</v>
      </c>
      <c r="K1455" s="539" t="s">
        <v>2299</v>
      </c>
      <c r="L1455" s="20"/>
      <c r="O1455" s="27"/>
      <c r="P1455" s="110">
        <v>0</v>
      </c>
      <c r="R1455" s="29" t="s">
        <v>2307</v>
      </c>
    </row>
    <row r="1456" spans="1:19" ht="16.5" thickBot="1">
      <c r="A1456" s="14">
        <f>A1416+1</f>
        <v>31</v>
      </c>
      <c r="B1456" s="14" t="str">
        <f>"MO" &amp; TEXT(A1456,"##000")</f>
        <v>MO031</v>
      </c>
      <c r="D1456" s="18"/>
      <c r="E1456" s="591" t="s">
        <v>2301</v>
      </c>
      <c r="F1456" s="592"/>
      <c r="G1456" s="592"/>
      <c r="H1456" s="592"/>
      <c r="I1456" s="327"/>
      <c r="J1456" s="362">
        <f>SUM(J1451:J1455)</f>
        <v>114.091700625</v>
      </c>
      <c r="K1456" s="365" t="str">
        <f>+G1451</f>
        <v>hs</v>
      </c>
      <c r="L1456" s="20"/>
      <c r="N1456" s="111">
        <f>+P1456+R1456</f>
        <v>114</v>
      </c>
      <c r="O1456" s="27"/>
      <c r="P1456" s="27">
        <f>SUM(P1449:P1455)</f>
        <v>60</v>
      </c>
      <c r="Q1456" s="26">
        <v>0.9</v>
      </c>
      <c r="R1456" s="287">
        <f>+Q1456*P1456</f>
        <v>54</v>
      </c>
      <c r="S1456" s="288"/>
    </row>
    <row r="1457" spans="1:16">
      <c r="D1457" s="18"/>
      <c r="E1457" s="593" t="s">
        <v>101</v>
      </c>
      <c r="F1457" s="594"/>
      <c r="G1457" s="594"/>
      <c r="H1457" s="594"/>
      <c r="I1457" s="594"/>
      <c r="J1457" s="595"/>
      <c r="K1457" s="347"/>
      <c r="L1457" s="20"/>
      <c r="P1457" s="14" t="s">
        <v>2308</v>
      </c>
    </row>
    <row r="1458" spans="1:16">
      <c r="A1458" s="14" t="s">
        <v>119</v>
      </c>
      <c r="D1458" s="18">
        <v>1</v>
      </c>
      <c r="E1458" s="26" t="str">
        <f>VLOOKUP($A1458,MATMO,2,FALSE)</f>
        <v>Herramientas de Mano</v>
      </c>
      <c r="F1458" s="311">
        <v>1</v>
      </c>
      <c r="G1458" s="307" t="str">
        <f>VLOOKUP($A1458,MATMO,3,FALSE)</f>
        <v>gl</v>
      </c>
      <c r="H1458" s="110">
        <f>+(J1449+J1456)*$Q$5</f>
        <v>10.838180025</v>
      </c>
      <c r="I1458" s="345" t="str">
        <f>+G1458</f>
        <v>gl</v>
      </c>
      <c r="J1458" s="350">
        <f t="shared" ref="J1458:J1462" si="277">+H1458*F1458</f>
        <v>10.838180025</v>
      </c>
      <c r="K1458" s="360" t="s">
        <v>2299</v>
      </c>
      <c r="L1458" s="20"/>
      <c r="M1458" s="14" t="s">
        <v>2004</v>
      </c>
    </row>
    <row r="1459" spans="1:16">
      <c r="A1459" s="14" t="s">
        <v>2389</v>
      </c>
      <c r="D1459" s="18">
        <v>2</v>
      </c>
      <c r="E1459" s="26" t="str">
        <f>VLOOKUP($A1459,MATMO,2,FALSE)</f>
        <v>Hormigonera</v>
      </c>
      <c r="F1459" s="311">
        <v>0.05</v>
      </c>
      <c r="G1459" s="307" t="str">
        <f>VLOOKUP($A1459,MATMO,3,FALSE)</f>
        <v>hs</v>
      </c>
      <c r="H1459" s="110">
        <f>VLOOKUP($A1459,MATMO,4,FALSE)*$Q$6</f>
        <v>301.3085399449036</v>
      </c>
      <c r="I1459" s="345" t="str">
        <f t="shared" ref="I1459:I1462" si="278">+G1459</f>
        <v>hs</v>
      </c>
      <c r="J1459" s="350">
        <f t="shared" si="277"/>
        <v>15.065426997245181</v>
      </c>
      <c r="K1459" s="360" t="s">
        <v>2299</v>
      </c>
      <c r="L1459" s="20"/>
    </row>
    <row r="1460" spans="1:16">
      <c r="A1460" s="14" t="s">
        <v>118</v>
      </c>
      <c r="D1460" s="18">
        <v>3</v>
      </c>
      <c r="E1460" s="26" t="str">
        <f>VLOOKUP($A1460,MATMO,2,FALSE)</f>
        <v>-</v>
      </c>
      <c r="F1460" s="311"/>
      <c r="G1460" s="307" t="str">
        <f>VLOOKUP($A1460,MATMO,3,FALSE)</f>
        <v>-</v>
      </c>
      <c r="H1460" s="110">
        <f>VLOOKUP($A1460,MATMO,4,FALSE)*$Q$6</f>
        <v>0</v>
      </c>
      <c r="I1460" s="543" t="str">
        <f t="shared" si="278"/>
        <v>-</v>
      </c>
      <c r="J1460" s="538">
        <f t="shared" si="277"/>
        <v>0</v>
      </c>
      <c r="K1460" s="539" t="s">
        <v>2299</v>
      </c>
      <c r="L1460" s="20"/>
    </row>
    <row r="1461" spans="1:16">
      <c r="A1461" s="14" t="s">
        <v>118</v>
      </c>
      <c r="D1461" s="18">
        <v>4</v>
      </c>
      <c r="E1461" s="26" t="str">
        <f>VLOOKUP($A1461,MATMO,2,FALSE)</f>
        <v>-</v>
      </c>
      <c r="F1461" s="311"/>
      <c r="G1461" s="307" t="str">
        <f>VLOOKUP($A1461,MATMO,3,FALSE)</f>
        <v>-</v>
      </c>
      <c r="H1461" s="110">
        <f>VLOOKUP($A1461,MATMO,4,FALSE)*$Q$6</f>
        <v>0</v>
      </c>
      <c r="I1461" s="543" t="str">
        <f t="shared" si="278"/>
        <v>-</v>
      </c>
      <c r="J1461" s="538">
        <f t="shared" si="277"/>
        <v>0</v>
      </c>
      <c r="K1461" s="539" t="s">
        <v>2299</v>
      </c>
      <c r="L1461" s="20"/>
    </row>
    <row r="1462" spans="1:16">
      <c r="A1462" s="14" t="s">
        <v>118</v>
      </c>
      <c r="D1462" s="18">
        <v>5</v>
      </c>
      <c r="E1462" s="26" t="str">
        <f>VLOOKUP($A1462,MATMO,2,FALSE)</f>
        <v>-</v>
      </c>
      <c r="F1462" s="311"/>
      <c r="G1462" s="307" t="str">
        <f>VLOOKUP($A1462,MATMO,3,FALSE)</f>
        <v>-</v>
      </c>
      <c r="H1462" s="110">
        <f>VLOOKUP($A1462,MATMO,4,FALSE)*$Q$6</f>
        <v>0</v>
      </c>
      <c r="I1462" s="543" t="str">
        <f t="shared" si="278"/>
        <v>-</v>
      </c>
      <c r="J1462" s="538">
        <f t="shared" si="277"/>
        <v>0</v>
      </c>
      <c r="K1462" s="539" t="s">
        <v>2299</v>
      </c>
      <c r="L1462" s="20"/>
    </row>
    <row r="1463" spans="1:16">
      <c r="A1463" s="14">
        <f>A1416+1</f>
        <v>31</v>
      </c>
      <c r="B1463" s="14" t="str">
        <f>"E" &amp; TEXT(A1463,"##000")</f>
        <v>E031</v>
      </c>
      <c r="D1463" s="18"/>
      <c r="E1463" s="591" t="s">
        <v>2300</v>
      </c>
      <c r="F1463" s="592"/>
      <c r="G1463" s="592"/>
      <c r="H1463" s="592"/>
      <c r="I1463" s="327"/>
      <c r="J1463" s="362">
        <f>SUM(J1458:J1462)</f>
        <v>25.903607022245183</v>
      </c>
      <c r="K1463" s="365" t="s">
        <v>116</v>
      </c>
      <c r="L1463" s="20"/>
    </row>
    <row r="1464" spans="1:16">
      <c r="D1464" s="18"/>
      <c r="E1464" s="596"/>
      <c r="F1464" s="597"/>
      <c r="G1464" s="597"/>
      <c r="H1464" s="597"/>
      <c r="I1464" s="597"/>
      <c r="J1464" s="598"/>
      <c r="K1464" s="348"/>
      <c r="L1464" s="20"/>
    </row>
    <row r="1465" spans="1:16">
      <c r="D1465" s="18"/>
      <c r="E1465" s="591" t="s">
        <v>2306</v>
      </c>
      <c r="F1465" s="592"/>
      <c r="G1465" s="592"/>
      <c r="H1465" s="592"/>
      <c r="I1465" s="327"/>
      <c r="J1465" s="308">
        <f>+J1463+J1456+J1449</f>
        <v>296.85810764724516</v>
      </c>
      <c r="K1465" s="365" t="str">
        <f>+F1426</f>
        <v>m2</v>
      </c>
      <c r="L1465" s="20"/>
    </row>
    <row r="1466" spans="1:16">
      <c r="D1466" s="18"/>
      <c r="E1466" s="591" t="s">
        <v>2305</v>
      </c>
      <c r="F1466" s="592"/>
      <c r="G1466" s="592"/>
      <c r="H1466" s="592"/>
      <c r="I1466" s="406">
        <f>+$Q$9</f>
        <v>1.6902999999999999</v>
      </c>
      <c r="J1466" s="308">
        <f>+$Q$9*J1465</f>
        <v>501.77925935613848</v>
      </c>
      <c r="K1466" s="365" t="str">
        <f>+F1426</f>
        <v>m2</v>
      </c>
      <c r="L1466" s="20"/>
    </row>
    <row r="1467" spans="1:16">
      <c r="A1467" s="14">
        <f>A1420+1</f>
        <v>31</v>
      </c>
      <c r="B1467" s="14" t="str">
        <f>"TR" &amp; TEXT(A1467,"##000")</f>
        <v>TR031</v>
      </c>
      <c r="C1467" s="14">
        <f>+C1420+1</f>
        <v>31</v>
      </c>
      <c r="D1467" s="18"/>
      <c r="E1467" s="591" t="s">
        <v>2304</v>
      </c>
      <c r="F1467" s="592"/>
      <c r="G1467" s="592"/>
      <c r="H1467" s="592"/>
      <c r="I1467" s="327"/>
      <c r="J1467" s="308">
        <f>+J1466</f>
        <v>501.77925935613848</v>
      </c>
      <c r="K1467" s="365" t="str">
        <f>+F1426</f>
        <v>m2</v>
      </c>
      <c r="L1467" s="20"/>
    </row>
    <row r="1468" spans="1:16" ht="16.5" thickBot="1">
      <c r="D1468" s="21"/>
      <c r="E1468" s="30"/>
      <c r="F1468" s="30"/>
      <c r="G1468" s="30"/>
      <c r="H1468" s="30"/>
      <c r="I1468" s="30"/>
      <c r="J1468" s="30"/>
      <c r="K1468" s="349"/>
      <c r="L1468" s="22"/>
    </row>
    <row r="1469" spans="1:16" ht="16.5" thickTop="1">
      <c r="D1469" s="15"/>
      <c r="E1469" s="16"/>
      <c r="F1469" s="16"/>
      <c r="G1469" s="16"/>
      <c r="H1469" s="16"/>
      <c r="I1469" s="16"/>
      <c r="J1469" s="16"/>
      <c r="K1469" s="16"/>
      <c r="L1469" s="17"/>
    </row>
    <row r="1470" spans="1:16">
      <c r="A1470" s="14" t="s">
        <v>1846</v>
      </c>
      <c r="D1470" s="18"/>
      <c r="E1470" s="23" t="s">
        <v>95</v>
      </c>
      <c r="F1470" s="24" t="str">
        <f>VLOOKUP($A1470,DATRUB,3,FALSE)</f>
        <v>RUBRO VII:</v>
      </c>
      <c r="G1470" s="599" t="str">
        <f>VLOOKUP($A1470,DATRUB,4,FALSE)</f>
        <v>CONTRAPISOS, CARPETAS, PISOS, UMBRALES y ZÓCALOS,</v>
      </c>
      <c r="H1470" s="599"/>
      <c r="I1470" s="599"/>
      <c r="J1470" s="599"/>
      <c r="K1470" s="599"/>
      <c r="L1470" s="20"/>
    </row>
    <row r="1471" spans="1:16" ht="35.1" customHeight="1">
      <c r="A1471" s="14" t="s">
        <v>1852</v>
      </c>
      <c r="D1471" s="18"/>
      <c r="E1471" s="23" t="s">
        <v>96</v>
      </c>
      <c r="F1471" s="399">
        <f>VLOOKUP($A1471,DATRUB,3,FALSE)</f>
        <v>7.6</v>
      </c>
      <c r="G1471" s="599" t="str">
        <f>VLOOKUP($A1471,DATRUB,4,FALSE)</f>
        <v>De Hormigón Alisado terminado al frataz en vereda perimetral</v>
      </c>
      <c r="H1471" s="599"/>
      <c r="I1471" s="599"/>
      <c r="J1471" s="599"/>
      <c r="K1471" s="599"/>
      <c r="L1471" s="20"/>
    </row>
    <row r="1472" spans="1:16" ht="35.1" customHeight="1">
      <c r="A1472" s="14" t="s">
        <v>1852</v>
      </c>
      <c r="D1472" s="18"/>
      <c r="E1472" s="23" t="s">
        <v>97</v>
      </c>
      <c r="F1472" s="399">
        <f>VLOOKUP($A1472,DATRUB,3,FALSE)</f>
        <v>7.6</v>
      </c>
      <c r="G1472" s="599" t="str">
        <f>VLOOKUP($A1472,DATRUB,4,FALSE)</f>
        <v>De Hormigón Alisado terminado al frataz en vereda perimetral</v>
      </c>
      <c r="H1472" s="599"/>
      <c r="I1472" s="599"/>
      <c r="J1472" s="599"/>
      <c r="K1472" s="599"/>
      <c r="L1472" s="20"/>
    </row>
    <row r="1473" spans="1:13">
      <c r="D1473" s="18"/>
      <c r="E1473" s="23" t="s">
        <v>98</v>
      </c>
      <c r="F1473" s="24" t="str">
        <f>VLOOKUP($A1472,DATRUB,5,FALSE)</f>
        <v>m2</v>
      </c>
      <c r="G1473" s="600"/>
      <c r="H1473" s="600"/>
      <c r="I1473" s="600"/>
      <c r="J1473" s="600"/>
      <c r="K1473" s="600"/>
      <c r="L1473" s="20"/>
    </row>
    <row r="1474" spans="1:13">
      <c r="D1474" s="18"/>
      <c r="E1474" s="24" t="s">
        <v>1158</v>
      </c>
      <c r="F1474" s="25" t="s">
        <v>1250</v>
      </c>
      <c r="G1474" s="24" t="s">
        <v>24</v>
      </c>
      <c r="H1474" s="24" t="s">
        <v>25</v>
      </c>
      <c r="I1474" s="24" t="s">
        <v>24</v>
      </c>
      <c r="J1474" s="24" t="s">
        <v>2298</v>
      </c>
      <c r="K1474" s="24" t="s">
        <v>24</v>
      </c>
      <c r="L1474" s="20"/>
    </row>
    <row r="1475" spans="1:13">
      <c r="D1475" s="18"/>
      <c r="E1475" s="593" t="s">
        <v>99</v>
      </c>
      <c r="F1475" s="594"/>
      <c r="G1475" s="594"/>
      <c r="H1475" s="594"/>
      <c r="I1475" s="594"/>
      <c r="J1475" s="594"/>
      <c r="K1475" s="595"/>
      <c r="L1475" s="20"/>
    </row>
    <row r="1476" spans="1:13">
      <c r="A1476" s="14" t="s">
        <v>2433</v>
      </c>
      <c r="D1476" s="18">
        <v>1</v>
      </c>
      <c r="E1476" s="355" t="str">
        <f t="shared" ref="E1476:E1495" si="279">VLOOKUP($A1476,MATMO,2,FALSE)</f>
        <v>Hormigón Elaborado 4</v>
      </c>
      <c r="F1476" s="356">
        <v>0.1</v>
      </c>
      <c r="G1476" s="357" t="str">
        <f t="shared" ref="G1476:G1495" si="280">VLOOKUP($A1476,MATMO,3,FALSE)</f>
        <v>m³</v>
      </c>
      <c r="H1476" s="358">
        <f t="shared" ref="H1476:H1495" si="281">VLOOKUP($A1476,MATMO,4,FALSE)*$Q$6</f>
        <v>1421</v>
      </c>
      <c r="I1476" s="359" t="str">
        <f t="shared" ref="I1476:I1495" si="282">+G1476</f>
        <v>m³</v>
      </c>
      <c r="J1476" s="361">
        <f>+H1476*F1476</f>
        <v>142.1</v>
      </c>
      <c r="K1476" s="360" t="s">
        <v>2299</v>
      </c>
      <c r="L1476" s="20"/>
      <c r="M1476" s="14" t="s">
        <v>2005</v>
      </c>
    </row>
    <row r="1477" spans="1:13">
      <c r="A1477" s="14" t="s">
        <v>2369</v>
      </c>
      <c r="D1477" s="18">
        <v>2</v>
      </c>
      <c r="E1477" s="26" t="str">
        <f t="shared" si="279"/>
        <v>Hierro</v>
      </c>
      <c r="F1477" s="311">
        <v>3</v>
      </c>
      <c r="G1477" s="307" t="str">
        <f t="shared" si="280"/>
        <v>kg</v>
      </c>
      <c r="H1477" s="351">
        <f t="shared" si="281"/>
        <v>15.588335288624991</v>
      </c>
      <c r="I1477" s="354" t="str">
        <f t="shared" si="282"/>
        <v>kg</v>
      </c>
      <c r="J1477" s="350">
        <f t="shared" ref="J1477:J1495" si="283">+H1477*F1477</f>
        <v>46.765005865874976</v>
      </c>
      <c r="K1477" s="360" t="s">
        <v>2299</v>
      </c>
      <c r="L1477" s="20"/>
    </row>
    <row r="1478" spans="1:13">
      <c r="A1478" s="14" t="s">
        <v>2365</v>
      </c>
      <c r="D1478" s="18">
        <v>3</v>
      </c>
      <c r="E1478" s="26" t="str">
        <f t="shared" si="279"/>
        <v>Cemento Puzolanico</v>
      </c>
      <c r="F1478" s="311">
        <v>1</v>
      </c>
      <c r="G1478" s="307" t="str">
        <f t="shared" si="280"/>
        <v>kg</v>
      </c>
      <c r="H1478" s="351">
        <f t="shared" si="281"/>
        <v>2.0474999999999999</v>
      </c>
      <c r="I1478" s="354" t="str">
        <f t="shared" si="282"/>
        <v>kg</v>
      </c>
      <c r="J1478" s="350">
        <f t="shared" si="283"/>
        <v>2.0474999999999999</v>
      </c>
      <c r="K1478" s="360" t="s">
        <v>2299</v>
      </c>
      <c r="L1478" s="20"/>
    </row>
    <row r="1479" spans="1:13">
      <c r="A1479" s="14" t="s">
        <v>2376</v>
      </c>
      <c r="D1479" s="18">
        <v>4</v>
      </c>
      <c r="E1479" s="26" t="str">
        <f t="shared" si="279"/>
        <v>Reglas Metálicas/Madera</v>
      </c>
      <c r="F1479" s="311">
        <v>0.5</v>
      </c>
      <c r="G1479" s="307" t="str">
        <f t="shared" si="280"/>
        <v>gl</v>
      </c>
      <c r="H1479" s="351">
        <f t="shared" si="281"/>
        <v>10</v>
      </c>
      <c r="I1479" s="354" t="str">
        <f t="shared" si="282"/>
        <v>gl</v>
      </c>
      <c r="J1479" s="350">
        <f t="shared" si="283"/>
        <v>5</v>
      </c>
      <c r="K1479" s="360" t="s">
        <v>2299</v>
      </c>
      <c r="L1479" s="20"/>
    </row>
    <row r="1480" spans="1:13">
      <c r="A1480" s="14" t="s">
        <v>31</v>
      </c>
      <c r="D1480" s="18">
        <v>5</v>
      </c>
      <c r="E1480" s="26" t="str">
        <f t="shared" si="279"/>
        <v>-</v>
      </c>
      <c r="F1480" s="311"/>
      <c r="G1480" s="307" t="str">
        <f t="shared" si="280"/>
        <v>-</v>
      </c>
      <c r="H1480" s="351">
        <f t="shared" si="281"/>
        <v>0</v>
      </c>
      <c r="I1480" s="537" t="str">
        <f t="shared" si="282"/>
        <v>-</v>
      </c>
      <c r="J1480" s="538">
        <f t="shared" si="283"/>
        <v>0</v>
      </c>
      <c r="K1480" s="539" t="s">
        <v>2299</v>
      </c>
      <c r="L1480" s="20"/>
    </row>
    <row r="1481" spans="1:13">
      <c r="A1481" s="14" t="s">
        <v>31</v>
      </c>
      <c r="D1481" s="18">
        <v>6</v>
      </c>
      <c r="E1481" s="26" t="str">
        <f t="shared" si="279"/>
        <v>-</v>
      </c>
      <c r="F1481" s="311"/>
      <c r="G1481" s="307" t="str">
        <f t="shared" si="280"/>
        <v>-</v>
      </c>
      <c r="H1481" s="351">
        <f t="shared" si="281"/>
        <v>0</v>
      </c>
      <c r="I1481" s="537" t="str">
        <f t="shared" si="282"/>
        <v>-</v>
      </c>
      <c r="J1481" s="538">
        <f t="shared" si="283"/>
        <v>0</v>
      </c>
      <c r="K1481" s="539" t="s">
        <v>2299</v>
      </c>
      <c r="L1481" s="20"/>
    </row>
    <row r="1482" spans="1:13">
      <c r="A1482" s="14" t="s">
        <v>31</v>
      </c>
      <c r="D1482" s="18">
        <v>7</v>
      </c>
      <c r="E1482" s="26" t="str">
        <f t="shared" si="279"/>
        <v>-</v>
      </c>
      <c r="F1482" s="311"/>
      <c r="G1482" s="307" t="str">
        <f t="shared" si="280"/>
        <v>-</v>
      </c>
      <c r="H1482" s="351">
        <f t="shared" si="281"/>
        <v>0</v>
      </c>
      <c r="I1482" s="537" t="str">
        <f t="shared" si="282"/>
        <v>-</v>
      </c>
      <c r="J1482" s="538">
        <f t="shared" si="283"/>
        <v>0</v>
      </c>
      <c r="K1482" s="539" t="s">
        <v>2299</v>
      </c>
      <c r="L1482" s="20"/>
    </row>
    <row r="1483" spans="1:13">
      <c r="A1483" s="14" t="s">
        <v>31</v>
      </c>
      <c r="D1483" s="18">
        <v>8</v>
      </c>
      <c r="E1483" s="26" t="str">
        <f t="shared" si="279"/>
        <v>-</v>
      </c>
      <c r="F1483" s="311"/>
      <c r="G1483" s="307" t="str">
        <f t="shared" si="280"/>
        <v>-</v>
      </c>
      <c r="H1483" s="351">
        <f t="shared" si="281"/>
        <v>0</v>
      </c>
      <c r="I1483" s="537" t="str">
        <f t="shared" si="282"/>
        <v>-</v>
      </c>
      <c r="J1483" s="538">
        <f t="shared" si="283"/>
        <v>0</v>
      </c>
      <c r="K1483" s="539" t="s">
        <v>2299</v>
      </c>
      <c r="L1483" s="20"/>
    </row>
    <row r="1484" spans="1:13">
      <c r="A1484" s="14" t="s">
        <v>31</v>
      </c>
      <c r="D1484" s="18">
        <v>9</v>
      </c>
      <c r="E1484" s="26" t="str">
        <f t="shared" si="279"/>
        <v>-</v>
      </c>
      <c r="F1484" s="311"/>
      <c r="G1484" s="307" t="str">
        <f t="shared" si="280"/>
        <v>-</v>
      </c>
      <c r="H1484" s="351">
        <f t="shared" si="281"/>
        <v>0</v>
      </c>
      <c r="I1484" s="537" t="str">
        <f t="shared" si="282"/>
        <v>-</v>
      </c>
      <c r="J1484" s="538">
        <f t="shared" si="283"/>
        <v>0</v>
      </c>
      <c r="K1484" s="539" t="s">
        <v>2299</v>
      </c>
      <c r="L1484" s="20"/>
    </row>
    <row r="1485" spans="1:13">
      <c r="A1485" s="14" t="s">
        <v>31</v>
      </c>
      <c r="D1485" s="18">
        <v>10</v>
      </c>
      <c r="E1485" s="26" t="str">
        <f t="shared" si="279"/>
        <v>-</v>
      </c>
      <c r="F1485" s="311"/>
      <c r="G1485" s="307" t="str">
        <f t="shared" si="280"/>
        <v>-</v>
      </c>
      <c r="H1485" s="351">
        <f t="shared" si="281"/>
        <v>0</v>
      </c>
      <c r="I1485" s="537" t="str">
        <f t="shared" si="282"/>
        <v>-</v>
      </c>
      <c r="J1485" s="538">
        <f t="shared" si="283"/>
        <v>0</v>
      </c>
      <c r="K1485" s="539" t="s">
        <v>2299</v>
      </c>
      <c r="L1485" s="20"/>
    </row>
    <row r="1486" spans="1:13">
      <c r="A1486" s="14" t="s">
        <v>31</v>
      </c>
      <c r="D1486" s="18">
        <v>11</v>
      </c>
      <c r="E1486" s="26" t="str">
        <f t="shared" si="279"/>
        <v>-</v>
      </c>
      <c r="F1486" s="311"/>
      <c r="G1486" s="307" t="str">
        <f t="shared" si="280"/>
        <v>-</v>
      </c>
      <c r="H1486" s="351">
        <f t="shared" si="281"/>
        <v>0</v>
      </c>
      <c r="I1486" s="537" t="str">
        <f t="shared" si="282"/>
        <v>-</v>
      </c>
      <c r="J1486" s="538">
        <f t="shared" si="283"/>
        <v>0</v>
      </c>
      <c r="K1486" s="539" t="s">
        <v>2299</v>
      </c>
      <c r="L1486" s="20"/>
    </row>
    <row r="1487" spans="1:13">
      <c r="A1487" s="14" t="s">
        <v>31</v>
      </c>
      <c r="D1487" s="18">
        <v>12</v>
      </c>
      <c r="E1487" s="26" t="str">
        <f t="shared" si="279"/>
        <v>-</v>
      </c>
      <c r="F1487" s="311"/>
      <c r="G1487" s="307" t="str">
        <f t="shared" si="280"/>
        <v>-</v>
      </c>
      <c r="H1487" s="352">
        <f t="shared" si="281"/>
        <v>0</v>
      </c>
      <c r="I1487" s="537" t="str">
        <f t="shared" si="282"/>
        <v>-</v>
      </c>
      <c r="J1487" s="538">
        <f t="shared" si="283"/>
        <v>0</v>
      </c>
      <c r="K1487" s="539" t="s">
        <v>2299</v>
      </c>
      <c r="L1487" s="20"/>
    </row>
    <row r="1488" spans="1:13">
      <c r="A1488" s="14" t="s">
        <v>31</v>
      </c>
      <c r="D1488" s="18">
        <v>13</v>
      </c>
      <c r="E1488" s="26" t="str">
        <f t="shared" si="279"/>
        <v>-</v>
      </c>
      <c r="F1488" s="311"/>
      <c r="G1488" s="307" t="str">
        <f t="shared" si="280"/>
        <v>-</v>
      </c>
      <c r="H1488" s="352">
        <f t="shared" si="281"/>
        <v>0</v>
      </c>
      <c r="I1488" s="537" t="str">
        <f t="shared" si="282"/>
        <v>-</v>
      </c>
      <c r="J1488" s="538">
        <f t="shared" si="283"/>
        <v>0</v>
      </c>
      <c r="K1488" s="539" t="s">
        <v>2299</v>
      </c>
      <c r="L1488" s="20"/>
    </row>
    <row r="1489" spans="1:19">
      <c r="A1489" s="14" t="s">
        <v>31</v>
      </c>
      <c r="D1489" s="18">
        <v>14</v>
      </c>
      <c r="E1489" s="26" t="str">
        <f t="shared" si="279"/>
        <v>-</v>
      </c>
      <c r="F1489" s="311"/>
      <c r="G1489" s="307" t="str">
        <f t="shared" si="280"/>
        <v>-</v>
      </c>
      <c r="H1489" s="352">
        <f t="shared" si="281"/>
        <v>0</v>
      </c>
      <c r="I1489" s="537" t="str">
        <f t="shared" si="282"/>
        <v>-</v>
      </c>
      <c r="J1489" s="538">
        <f t="shared" si="283"/>
        <v>0</v>
      </c>
      <c r="K1489" s="539" t="s">
        <v>2299</v>
      </c>
      <c r="L1489" s="20"/>
    </row>
    <row r="1490" spans="1:19">
      <c r="A1490" s="14" t="s">
        <v>31</v>
      </c>
      <c r="D1490" s="18">
        <v>15</v>
      </c>
      <c r="E1490" s="26" t="str">
        <f t="shared" si="279"/>
        <v>-</v>
      </c>
      <c r="F1490" s="311"/>
      <c r="G1490" s="307" t="str">
        <f t="shared" si="280"/>
        <v>-</v>
      </c>
      <c r="H1490" s="352">
        <f t="shared" si="281"/>
        <v>0</v>
      </c>
      <c r="I1490" s="537" t="str">
        <f t="shared" si="282"/>
        <v>-</v>
      </c>
      <c r="J1490" s="538">
        <f t="shared" si="283"/>
        <v>0</v>
      </c>
      <c r="K1490" s="539" t="s">
        <v>2299</v>
      </c>
      <c r="L1490" s="20"/>
    </row>
    <row r="1491" spans="1:19">
      <c r="A1491" s="14" t="s">
        <v>31</v>
      </c>
      <c r="D1491" s="18">
        <v>16</v>
      </c>
      <c r="E1491" s="26" t="str">
        <f t="shared" si="279"/>
        <v>-</v>
      </c>
      <c r="F1491" s="311"/>
      <c r="G1491" s="307" t="str">
        <f t="shared" si="280"/>
        <v>-</v>
      </c>
      <c r="H1491" s="352">
        <f t="shared" si="281"/>
        <v>0</v>
      </c>
      <c r="I1491" s="537" t="str">
        <f t="shared" si="282"/>
        <v>-</v>
      </c>
      <c r="J1491" s="538">
        <f t="shared" si="283"/>
        <v>0</v>
      </c>
      <c r="K1491" s="539" t="s">
        <v>2299</v>
      </c>
      <c r="L1491" s="20"/>
    </row>
    <row r="1492" spans="1:19">
      <c r="A1492" s="14" t="s">
        <v>31</v>
      </c>
      <c r="D1492" s="18">
        <v>17</v>
      </c>
      <c r="E1492" s="26" t="str">
        <f t="shared" si="279"/>
        <v>-</v>
      </c>
      <c r="F1492" s="311"/>
      <c r="G1492" s="307" t="str">
        <f t="shared" si="280"/>
        <v>-</v>
      </c>
      <c r="H1492" s="352">
        <f t="shared" si="281"/>
        <v>0</v>
      </c>
      <c r="I1492" s="537" t="str">
        <f t="shared" si="282"/>
        <v>-</v>
      </c>
      <c r="J1492" s="538">
        <f t="shared" si="283"/>
        <v>0</v>
      </c>
      <c r="K1492" s="539" t="s">
        <v>2299</v>
      </c>
      <c r="L1492" s="20"/>
    </row>
    <row r="1493" spans="1:19">
      <c r="A1493" s="14" t="s">
        <v>31</v>
      </c>
      <c r="D1493" s="18">
        <v>18</v>
      </c>
      <c r="E1493" s="26" t="str">
        <f t="shared" si="279"/>
        <v>-</v>
      </c>
      <c r="F1493" s="311"/>
      <c r="G1493" s="307" t="str">
        <f t="shared" si="280"/>
        <v>-</v>
      </c>
      <c r="H1493" s="352">
        <f t="shared" si="281"/>
        <v>0</v>
      </c>
      <c r="I1493" s="537" t="str">
        <f t="shared" si="282"/>
        <v>-</v>
      </c>
      <c r="J1493" s="538">
        <f t="shared" si="283"/>
        <v>0</v>
      </c>
      <c r="K1493" s="539" t="s">
        <v>2299</v>
      </c>
      <c r="L1493" s="20"/>
    </row>
    <row r="1494" spans="1:19">
      <c r="A1494" s="14" t="s">
        <v>31</v>
      </c>
      <c r="D1494" s="18">
        <v>19</v>
      </c>
      <c r="E1494" s="26" t="str">
        <f t="shared" si="279"/>
        <v>-</v>
      </c>
      <c r="F1494" s="311"/>
      <c r="G1494" s="307" t="str">
        <f t="shared" si="280"/>
        <v>-</v>
      </c>
      <c r="H1494" s="352">
        <f t="shared" si="281"/>
        <v>0</v>
      </c>
      <c r="I1494" s="537" t="str">
        <f t="shared" si="282"/>
        <v>-</v>
      </c>
      <c r="J1494" s="538">
        <f t="shared" si="283"/>
        <v>0</v>
      </c>
      <c r="K1494" s="539" t="s">
        <v>2299</v>
      </c>
      <c r="L1494" s="20"/>
    </row>
    <row r="1495" spans="1:19">
      <c r="A1495" s="14" t="s">
        <v>31</v>
      </c>
      <c r="D1495" s="18">
        <v>20</v>
      </c>
      <c r="E1495" s="26" t="str">
        <f t="shared" si="279"/>
        <v>-</v>
      </c>
      <c r="F1495" s="311"/>
      <c r="G1495" s="307" t="str">
        <f t="shared" si="280"/>
        <v>-</v>
      </c>
      <c r="H1495" s="352">
        <f t="shared" si="281"/>
        <v>0</v>
      </c>
      <c r="I1495" s="537" t="str">
        <f t="shared" si="282"/>
        <v>-</v>
      </c>
      <c r="J1495" s="541">
        <f t="shared" si="283"/>
        <v>0</v>
      </c>
      <c r="K1495" s="539" t="s">
        <v>2299</v>
      </c>
      <c r="L1495" s="20"/>
    </row>
    <row r="1496" spans="1:19">
      <c r="A1496" s="14">
        <f>A1463+1</f>
        <v>32</v>
      </c>
      <c r="B1496" s="14" t="str">
        <f>"MA" &amp; TEXT(A1496,"##000")</f>
        <v>MA032</v>
      </c>
      <c r="D1496" s="18"/>
      <c r="E1496" s="591" t="s">
        <v>2302</v>
      </c>
      <c r="F1496" s="592"/>
      <c r="G1496" s="592"/>
      <c r="H1496" s="592"/>
      <c r="I1496" s="327"/>
      <c r="J1496" s="353">
        <f>SUM(J1476:J1495)</f>
        <v>195.91250586587498</v>
      </c>
      <c r="K1496" s="365" t="str">
        <f>+F1473</f>
        <v>m2</v>
      </c>
      <c r="L1496" s="20"/>
      <c r="O1496" s="27" t="s">
        <v>1525</v>
      </c>
      <c r="P1496" s="110">
        <v>60</v>
      </c>
    </row>
    <row r="1497" spans="1:19">
      <c r="D1497" s="18"/>
      <c r="E1497" s="593" t="s">
        <v>100</v>
      </c>
      <c r="F1497" s="594"/>
      <c r="G1497" s="594"/>
      <c r="H1497" s="594"/>
      <c r="I1497" s="594"/>
      <c r="J1497" s="595"/>
      <c r="K1497" s="347"/>
      <c r="L1497" s="20"/>
      <c r="O1497" s="27" t="s">
        <v>1524</v>
      </c>
      <c r="P1497" s="110">
        <v>0</v>
      </c>
    </row>
    <row r="1498" spans="1:19">
      <c r="A1498" s="14" t="s">
        <v>84</v>
      </c>
      <c r="D1498" s="18">
        <v>1</v>
      </c>
      <c r="E1498" s="26" t="str">
        <f>VLOOKUP($A1498,MATMO,2,FALSE)</f>
        <v>Oficial</v>
      </c>
      <c r="F1498" s="311">
        <v>0.8</v>
      </c>
      <c r="G1498" s="307" t="str">
        <f>VLOOKUP($A1498,MATMO,3,FALSE)</f>
        <v>hs</v>
      </c>
      <c r="H1498" s="110">
        <f>VLOOKUP($A1498,MATMO,4,FALSE)*$Q$7</f>
        <v>55.38</v>
      </c>
      <c r="I1498" s="354" t="str">
        <f t="shared" ref="I1498:I1502" si="284">+G1498</f>
        <v>hs</v>
      </c>
      <c r="J1498" s="350">
        <f t="shared" ref="J1498:J1502" si="285">+H1498*F1498</f>
        <v>44.304000000000002</v>
      </c>
      <c r="K1498" s="360" t="s">
        <v>2299</v>
      </c>
      <c r="L1498" s="20"/>
      <c r="M1498" s="14" t="s">
        <v>2006</v>
      </c>
      <c r="O1498" s="27" t="s">
        <v>1526</v>
      </c>
      <c r="P1498" s="110">
        <v>0</v>
      </c>
    </row>
    <row r="1499" spans="1:19">
      <c r="A1499" s="14" t="s">
        <v>85</v>
      </c>
      <c r="D1499" s="18">
        <v>2</v>
      </c>
      <c r="E1499" s="26" t="str">
        <f>VLOOKUP($A1499,MATMO,2,FALSE)</f>
        <v>Ayudante</v>
      </c>
      <c r="F1499" s="311">
        <v>0.3</v>
      </c>
      <c r="G1499" s="307" t="str">
        <f>VLOOKUP($A1499,MATMO,3,FALSE)</f>
        <v>hs</v>
      </c>
      <c r="H1499" s="110">
        <f>VLOOKUP($A1499,MATMO,4,FALSE)*$Q$7</f>
        <v>46.87</v>
      </c>
      <c r="I1499" s="354" t="str">
        <f t="shared" si="284"/>
        <v>hs</v>
      </c>
      <c r="J1499" s="350">
        <f t="shared" si="285"/>
        <v>14.060999999999998</v>
      </c>
      <c r="K1499" s="360" t="s">
        <v>2299</v>
      </c>
      <c r="L1499" s="20"/>
      <c r="O1499" s="27" t="s">
        <v>1527</v>
      </c>
      <c r="P1499" s="110">
        <v>0</v>
      </c>
    </row>
    <row r="1500" spans="1:19">
      <c r="A1500" s="14" t="s">
        <v>2311</v>
      </c>
      <c r="D1500" s="18">
        <v>3</v>
      </c>
      <c r="E1500" s="26" t="str">
        <f>VLOOKUP($A1500,MATMO,2,FALSE)</f>
        <v>Cargas Sociales Oficial</v>
      </c>
      <c r="F1500" s="311">
        <f>+F1498</f>
        <v>0.8</v>
      </c>
      <c r="G1500" s="307" t="str">
        <f>VLOOKUP($A1500,MATMO,3,FALSE)</f>
        <v>hs</v>
      </c>
      <c r="H1500" s="110">
        <f>VLOOKUP($A1500,MATMO,4,FALSE)*$Q$7</f>
        <v>52.742782499999997</v>
      </c>
      <c r="I1500" s="354" t="str">
        <f t="shared" si="284"/>
        <v>hs</v>
      </c>
      <c r="J1500" s="350">
        <f t="shared" si="285"/>
        <v>42.194226</v>
      </c>
      <c r="K1500" s="360" t="s">
        <v>2299</v>
      </c>
      <c r="L1500" s="20"/>
      <c r="O1500" s="27"/>
      <c r="P1500" s="110">
        <v>0</v>
      </c>
    </row>
    <row r="1501" spans="1:19">
      <c r="A1501" s="14" t="s">
        <v>2312</v>
      </c>
      <c r="D1501" s="18">
        <v>4</v>
      </c>
      <c r="E1501" s="26" t="str">
        <f>VLOOKUP($A1501,MATMO,2,FALSE)</f>
        <v>Cargas Sociales Ayudante</v>
      </c>
      <c r="F1501" s="311">
        <f>+F1499</f>
        <v>0.3</v>
      </c>
      <c r="G1501" s="307" t="str">
        <f>VLOOKUP($A1501,MATMO,3,FALSE)</f>
        <v>hs</v>
      </c>
      <c r="H1501" s="110">
        <f>VLOOKUP($A1501,MATMO,4,FALSE)*$Q$7</f>
        <v>45.108248750000001</v>
      </c>
      <c r="I1501" s="354" t="str">
        <f t="shared" si="284"/>
        <v>hs</v>
      </c>
      <c r="J1501" s="350">
        <f t="shared" si="285"/>
        <v>13.532474625000001</v>
      </c>
      <c r="K1501" s="360" t="s">
        <v>2299</v>
      </c>
      <c r="L1501" s="20"/>
      <c r="O1501" s="27"/>
      <c r="P1501" s="110">
        <v>0</v>
      </c>
    </row>
    <row r="1502" spans="1:19" ht="16.5" thickBot="1">
      <c r="A1502" s="14" t="s">
        <v>83</v>
      </c>
      <c r="D1502" s="18">
        <v>5</v>
      </c>
      <c r="E1502" s="26" t="str">
        <f>VLOOKUP($A1502,MATMO,2,FALSE)</f>
        <v>-</v>
      </c>
      <c r="F1502" s="311"/>
      <c r="G1502" s="307" t="str">
        <f>VLOOKUP($A1502,MATMO,3,FALSE)</f>
        <v>-</v>
      </c>
      <c r="H1502" s="110">
        <f>VLOOKUP($A1502,MATMO,4,FALSE)*$Q$7</f>
        <v>0</v>
      </c>
      <c r="I1502" s="537" t="str">
        <f t="shared" si="284"/>
        <v>-</v>
      </c>
      <c r="J1502" s="538">
        <f t="shared" si="285"/>
        <v>0</v>
      </c>
      <c r="K1502" s="539" t="s">
        <v>2299</v>
      </c>
      <c r="L1502" s="20"/>
      <c r="O1502" s="27"/>
      <c r="P1502" s="110">
        <v>0</v>
      </c>
      <c r="R1502" s="29" t="s">
        <v>2307</v>
      </c>
    </row>
    <row r="1503" spans="1:19" ht="16.5" thickBot="1">
      <c r="A1503" s="14">
        <f>A1463+1</f>
        <v>32</v>
      </c>
      <c r="B1503" s="14" t="str">
        <f>"MO" &amp; TEXT(A1503,"##000")</f>
        <v>MO032</v>
      </c>
      <c r="D1503" s="18"/>
      <c r="E1503" s="591" t="s">
        <v>2301</v>
      </c>
      <c r="F1503" s="592"/>
      <c r="G1503" s="592"/>
      <c r="H1503" s="592"/>
      <c r="I1503" s="327"/>
      <c r="J1503" s="362">
        <f>SUM(J1498:J1502)</f>
        <v>114.091700625</v>
      </c>
      <c r="K1503" s="365" t="str">
        <f>+G1498</f>
        <v>hs</v>
      </c>
      <c r="L1503" s="20"/>
      <c r="N1503" s="111">
        <f>+P1503+R1503</f>
        <v>114</v>
      </c>
      <c r="O1503" s="27"/>
      <c r="P1503" s="27">
        <f>SUM(P1496:P1502)</f>
        <v>60</v>
      </c>
      <c r="Q1503" s="26">
        <v>0.9</v>
      </c>
      <c r="R1503" s="287">
        <f>+Q1503*P1503</f>
        <v>54</v>
      </c>
      <c r="S1503" s="288"/>
    </row>
    <row r="1504" spans="1:19">
      <c r="D1504" s="18"/>
      <c r="E1504" s="593" t="s">
        <v>101</v>
      </c>
      <c r="F1504" s="594"/>
      <c r="G1504" s="594"/>
      <c r="H1504" s="594"/>
      <c r="I1504" s="594"/>
      <c r="J1504" s="595"/>
      <c r="K1504" s="347"/>
      <c r="L1504" s="20"/>
      <c r="P1504" s="14" t="s">
        <v>2308</v>
      </c>
    </row>
    <row r="1505" spans="1:13">
      <c r="A1505" s="14" t="s">
        <v>119</v>
      </c>
      <c r="D1505" s="18">
        <v>1</v>
      </c>
      <c r="E1505" s="26" t="str">
        <f>VLOOKUP($A1505,MATMO,2,FALSE)</f>
        <v>Herramientas de Mano</v>
      </c>
      <c r="F1505" s="311">
        <v>1</v>
      </c>
      <c r="G1505" s="307" t="str">
        <f>VLOOKUP($A1505,MATMO,3,FALSE)</f>
        <v>gl</v>
      </c>
      <c r="H1505" s="110">
        <f>+(J1496+J1503)*$Q$5</f>
        <v>12.400168259635</v>
      </c>
      <c r="I1505" s="345" t="str">
        <f>+G1505</f>
        <v>gl</v>
      </c>
      <c r="J1505" s="350">
        <f t="shared" ref="J1505:J1509" si="286">+H1505*F1505</f>
        <v>12.400168259635</v>
      </c>
      <c r="K1505" s="360" t="s">
        <v>2299</v>
      </c>
      <c r="L1505" s="20"/>
      <c r="M1505" s="14" t="s">
        <v>2004</v>
      </c>
    </row>
    <row r="1506" spans="1:13">
      <c r="A1506" s="14" t="s">
        <v>2389</v>
      </c>
      <c r="D1506" s="18">
        <v>2</v>
      </c>
      <c r="E1506" s="26" t="str">
        <f>VLOOKUP($A1506,MATMO,2,FALSE)</f>
        <v>Hormigonera</v>
      </c>
      <c r="F1506" s="311">
        <v>0.1</v>
      </c>
      <c r="G1506" s="307" t="str">
        <f>VLOOKUP($A1506,MATMO,3,FALSE)</f>
        <v>hs</v>
      </c>
      <c r="H1506" s="110">
        <f>VLOOKUP($A1506,MATMO,4,FALSE)*$Q$6</f>
        <v>301.3085399449036</v>
      </c>
      <c r="I1506" s="345" t="str">
        <f t="shared" ref="I1506:I1509" si="287">+G1506</f>
        <v>hs</v>
      </c>
      <c r="J1506" s="350">
        <f t="shared" si="286"/>
        <v>30.130853994490362</v>
      </c>
      <c r="K1506" s="360" t="s">
        <v>2299</v>
      </c>
      <c r="L1506" s="20"/>
    </row>
    <row r="1507" spans="1:13">
      <c r="A1507" s="14" t="s">
        <v>118</v>
      </c>
      <c r="D1507" s="18">
        <v>3</v>
      </c>
      <c r="E1507" s="26" t="str">
        <f>VLOOKUP($A1507,MATMO,2,FALSE)</f>
        <v>-</v>
      </c>
      <c r="F1507" s="311"/>
      <c r="G1507" s="307" t="str">
        <f>VLOOKUP($A1507,MATMO,3,FALSE)</f>
        <v>-</v>
      </c>
      <c r="H1507" s="110">
        <f>VLOOKUP($A1507,MATMO,4,FALSE)*$Q$6</f>
        <v>0</v>
      </c>
      <c r="I1507" s="543" t="str">
        <f t="shared" si="287"/>
        <v>-</v>
      </c>
      <c r="J1507" s="538">
        <f t="shared" si="286"/>
        <v>0</v>
      </c>
      <c r="K1507" s="539" t="s">
        <v>2299</v>
      </c>
      <c r="L1507" s="20"/>
    </row>
    <row r="1508" spans="1:13">
      <c r="A1508" s="14" t="s">
        <v>118</v>
      </c>
      <c r="D1508" s="18">
        <v>4</v>
      </c>
      <c r="E1508" s="26" t="str">
        <f>VLOOKUP($A1508,MATMO,2,FALSE)</f>
        <v>-</v>
      </c>
      <c r="F1508" s="311"/>
      <c r="G1508" s="307" t="str">
        <f>VLOOKUP($A1508,MATMO,3,FALSE)</f>
        <v>-</v>
      </c>
      <c r="H1508" s="110">
        <f>VLOOKUP($A1508,MATMO,4,FALSE)*$Q$6</f>
        <v>0</v>
      </c>
      <c r="I1508" s="543" t="str">
        <f t="shared" si="287"/>
        <v>-</v>
      </c>
      <c r="J1508" s="538">
        <f t="shared" si="286"/>
        <v>0</v>
      </c>
      <c r="K1508" s="539" t="s">
        <v>2299</v>
      </c>
      <c r="L1508" s="20"/>
    </row>
    <row r="1509" spans="1:13">
      <c r="A1509" s="14" t="s">
        <v>118</v>
      </c>
      <c r="D1509" s="18">
        <v>5</v>
      </c>
      <c r="E1509" s="26" t="str">
        <f>VLOOKUP($A1509,MATMO,2,FALSE)</f>
        <v>-</v>
      </c>
      <c r="F1509" s="311"/>
      <c r="G1509" s="307" t="str">
        <f>VLOOKUP($A1509,MATMO,3,FALSE)</f>
        <v>-</v>
      </c>
      <c r="H1509" s="110">
        <f>VLOOKUP($A1509,MATMO,4,FALSE)*$Q$6</f>
        <v>0</v>
      </c>
      <c r="I1509" s="543" t="str">
        <f t="shared" si="287"/>
        <v>-</v>
      </c>
      <c r="J1509" s="538">
        <f t="shared" si="286"/>
        <v>0</v>
      </c>
      <c r="K1509" s="539" t="s">
        <v>2299</v>
      </c>
      <c r="L1509" s="20"/>
    </row>
    <row r="1510" spans="1:13">
      <c r="A1510" s="14">
        <f>A1463+1</f>
        <v>32</v>
      </c>
      <c r="B1510" s="14" t="str">
        <f>"E" &amp; TEXT(A1510,"##000")</f>
        <v>E032</v>
      </c>
      <c r="D1510" s="18"/>
      <c r="E1510" s="591" t="s">
        <v>2300</v>
      </c>
      <c r="F1510" s="592"/>
      <c r="G1510" s="592"/>
      <c r="H1510" s="592"/>
      <c r="I1510" s="327"/>
      <c r="J1510" s="362">
        <f>SUM(J1505:J1509)</f>
        <v>42.531022254125361</v>
      </c>
      <c r="K1510" s="365" t="s">
        <v>116</v>
      </c>
      <c r="L1510" s="20"/>
    </row>
    <row r="1511" spans="1:13">
      <c r="D1511" s="18"/>
      <c r="E1511" s="596"/>
      <c r="F1511" s="597"/>
      <c r="G1511" s="597"/>
      <c r="H1511" s="597"/>
      <c r="I1511" s="597"/>
      <c r="J1511" s="598"/>
      <c r="K1511" s="348"/>
      <c r="L1511" s="20"/>
    </row>
    <row r="1512" spans="1:13">
      <c r="D1512" s="18"/>
      <c r="E1512" s="591" t="s">
        <v>2306</v>
      </c>
      <c r="F1512" s="592"/>
      <c r="G1512" s="592"/>
      <c r="H1512" s="592"/>
      <c r="I1512" s="327"/>
      <c r="J1512" s="308">
        <f>+J1510+J1503+J1496</f>
        <v>352.53522874500038</v>
      </c>
      <c r="K1512" s="365" t="str">
        <f>+F1473</f>
        <v>m2</v>
      </c>
      <c r="L1512" s="20"/>
    </row>
    <row r="1513" spans="1:13">
      <c r="D1513" s="18"/>
      <c r="E1513" s="591" t="s">
        <v>2305</v>
      </c>
      <c r="F1513" s="592"/>
      <c r="G1513" s="592"/>
      <c r="H1513" s="592"/>
      <c r="I1513" s="406">
        <f>+$Q$9</f>
        <v>1.6902999999999999</v>
      </c>
      <c r="J1513" s="308">
        <f>+$Q$9*J1512</f>
        <v>595.89029714767412</v>
      </c>
      <c r="K1513" s="365" t="str">
        <f>+F1473</f>
        <v>m2</v>
      </c>
      <c r="L1513" s="20"/>
    </row>
    <row r="1514" spans="1:13">
      <c r="A1514" s="14">
        <f>A1467+1</f>
        <v>32</v>
      </c>
      <c r="B1514" s="14" t="str">
        <f>"TR" &amp; TEXT(A1514,"##000")</f>
        <v>TR032</v>
      </c>
      <c r="C1514" s="14">
        <f>+C1467+1</f>
        <v>32</v>
      </c>
      <c r="D1514" s="18"/>
      <c r="E1514" s="591" t="s">
        <v>2304</v>
      </c>
      <c r="F1514" s="592"/>
      <c r="G1514" s="592"/>
      <c r="H1514" s="592"/>
      <c r="I1514" s="327"/>
      <c r="J1514" s="308">
        <f>+J1513</f>
        <v>595.89029714767412</v>
      </c>
      <c r="K1514" s="365" t="str">
        <f>+F1473</f>
        <v>m2</v>
      </c>
      <c r="L1514" s="20"/>
    </row>
    <row r="1515" spans="1:13" ht="16.5" thickBot="1">
      <c r="D1515" s="21"/>
      <c r="E1515" s="30"/>
      <c r="F1515" s="30"/>
      <c r="G1515" s="30"/>
      <c r="H1515" s="30"/>
      <c r="I1515" s="30"/>
      <c r="J1515" s="30"/>
      <c r="K1515" s="349"/>
      <c r="L1515" s="22"/>
    </row>
    <row r="1516" spans="1:13" ht="16.5" thickTop="1">
      <c r="D1516" s="15"/>
      <c r="E1516" s="16"/>
      <c r="F1516" s="16"/>
      <c r="G1516" s="16"/>
      <c r="H1516" s="16"/>
      <c r="I1516" s="16"/>
      <c r="J1516" s="16"/>
      <c r="K1516" s="16"/>
      <c r="L1516" s="17"/>
    </row>
    <row r="1517" spans="1:13">
      <c r="A1517" s="14" t="s">
        <v>1846</v>
      </c>
      <c r="D1517" s="18"/>
      <c r="E1517" s="23" t="s">
        <v>95</v>
      </c>
      <c r="F1517" s="24" t="str">
        <f>VLOOKUP($A1517,DATRUB,3,FALSE)</f>
        <v>RUBRO VII:</v>
      </c>
      <c r="G1517" s="599" t="str">
        <f>VLOOKUP($A1517,DATRUB,4,FALSE)</f>
        <v>CONTRAPISOS, CARPETAS, PISOS, UMBRALES y ZÓCALOS,</v>
      </c>
      <c r="H1517" s="599"/>
      <c r="I1517" s="599"/>
      <c r="J1517" s="599"/>
      <c r="K1517" s="599"/>
      <c r="L1517" s="20"/>
    </row>
    <row r="1518" spans="1:13" ht="35.1" customHeight="1">
      <c r="A1518" s="14" t="s">
        <v>1853</v>
      </c>
      <c r="D1518" s="18"/>
      <c r="E1518" s="23" t="s">
        <v>96</v>
      </c>
      <c r="F1518" s="399">
        <f>VLOOKUP($A1518,DATRUB,3,FALSE)</f>
        <v>7.7</v>
      </c>
      <c r="G1518" s="599" t="str">
        <f>VLOOKUP($A1518,DATRUB,4,FALSE)</f>
        <v>Zócalo Porcellanatto h: 10 cm color a definir</v>
      </c>
      <c r="H1518" s="599"/>
      <c r="I1518" s="599"/>
      <c r="J1518" s="599"/>
      <c r="K1518" s="599"/>
      <c r="L1518" s="20"/>
    </row>
    <row r="1519" spans="1:13" ht="35.1" customHeight="1">
      <c r="A1519" s="14" t="s">
        <v>1853</v>
      </c>
      <c r="D1519" s="18"/>
      <c r="E1519" s="23" t="s">
        <v>97</v>
      </c>
      <c r="F1519" s="399">
        <f>VLOOKUP($A1519,DATRUB,3,FALSE)</f>
        <v>7.7</v>
      </c>
      <c r="G1519" s="599" t="str">
        <f>VLOOKUP($A1519,DATRUB,4,FALSE)</f>
        <v>Zócalo Porcellanatto h: 10 cm color a definir</v>
      </c>
      <c r="H1519" s="599"/>
      <c r="I1519" s="599"/>
      <c r="J1519" s="599"/>
      <c r="K1519" s="599"/>
      <c r="L1519" s="20"/>
    </row>
    <row r="1520" spans="1:13">
      <c r="D1520" s="18"/>
      <c r="E1520" s="23" t="s">
        <v>98</v>
      </c>
      <c r="F1520" s="24" t="str">
        <f>VLOOKUP($A1519,DATRUB,5,FALSE)</f>
        <v>m2</v>
      </c>
      <c r="G1520" s="600"/>
      <c r="H1520" s="600"/>
      <c r="I1520" s="600"/>
      <c r="J1520" s="600"/>
      <c r="K1520" s="600"/>
      <c r="L1520" s="20"/>
    </row>
    <row r="1521" spans="1:13">
      <c r="D1521" s="18"/>
      <c r="E1521" s="24" t="s">
        <v>1158</v>
      </c>
      <c r="F1521" s="25" t="s">
        <v>1250</v>
      </c>
      <c r="G1521" s="24" t="s">
        <v>24</v>
      </c>
      <c r="H1521" s="24" t="s">
        <v>25</v>
      </c>
      <c r="I1521" s="24" t="s">
        <v>24</v>
      </c>
      <c r="J1521" s="24" t="s">
        <v>2298</v>
      </c>
      <c r="K1521" s="24" t="s">
        <v>24</v>
      </c>
      <c r="L1521" s="20"/>
    </row>
    <row r="1522" spans="1:13">
      <c r="D1522" s="18"/>
      <c r="E1522" s="593" t="s">
        <v>99</v>
      </c>
      <c r="F1522" s="594"/>
      <c r="G1522" s="594"/>
      <c r="H1522" s="594"/>
      <c r="I1522" s="594"/>
      <c r="J1522" s="594"/>
      <c r="K1522" s="595"/>
      <c r="L1522" s="20"/>
    </row>
    <row r="1523" spans="1:13">
      <c r="A1523" s="14" t="s">
        <v>2473</v>
      </c>
      <c r="D1523" s="18">
        <v>1</v>
      </c>
      <c r="E1523" s="355" t="str">
        <f t="shared" ref="E1523:E1542" si="288">VLOOKUP($A1523,MATMO,2,FALSE)</f>
        <v>Zocalo Porcelanato</v>
      </c>
      <c r="F1523" s="356">
        <v>1.2</v>
      </c>
      <c r="G1523" s="357" t="str">
        <f t="shared" ref="G1523:G1542" si="289">VLOOKUP($A1523,MATMO,3,FALSE)</f>
        <v>ml</v>
      </c>
      <c r="H1523" s="358">
        <f t="shared" ref="H1523:H1542" si="290">VLOOKUP($A1523,MATMO,4,FALSE)*$Q$6</f>
        <v>235</v>
      </c>
      <c r="I1523" s="359" t="str">
        <f t="shared" ref="I1523:I1542" si="291">+G1523</f>
        <v>ml</v>
      </c>
      <c r="J1523" s="361">
        <f>+H1523*F1523</f>
        <v>282</v>
      </c>
      <c r="K1523" s="360" t="s">
        <v>2299</v>
      </c>
      <c r="L1523" s="20"/>
      <c r="M1523" s="14" t="s">
        <v>2005</v>
      </c>
    </row>
    <row r="1524" spans="1:13">
      <c r="A1524" s="14" t="s">
        <v>2466</v>
      </c>
      <c r="D1524" s="18">
        <v>2</v>
      </c>
      <c r="E1524" s="26" t="str">
        <f t="shared" si="288"/>
        <v>Pegamento para porcelanato</v>
      </c>
      <c r="F1524" s="311">
        <v>3</v>
      </c>
      <c r="G1524" s="307" t="str">
        <f t="shared" si="289"/>
        <v>kg</v>
      </c>
      <c r="H1524" s="351">
        <f t="shared" si="290"/>
        <v>4.9035812672176311</v>
      </c>
      <c r="I1524" s="354" t="str">
        <f t="shared" si="291"/>
        <v>kg</v>
      </c>
      <c r="J1524" s="350">
        <f t="shared" ref="J1524:J1542" si="292">+H1524*F1524</f>
        <v>14.710743801652892</v>
      </c>
      <c r="K1524" s="360" t="s">
        <v>2299</v>
      </c>
      <c r="L1524" s="20"/>
    </row>
    <row r="1525" spans="1:13">
      <c r="A1525" s="14" t="s">
        <v>31</v>
      </c>
      <c r="D1525" s="18">
        <v>3</v>
      </c>
      <c r="E1525" s="26" t="str">
        <f t="shared" si="288"/>
        <v>-</v>
      </c>
      <c r="F1525" s="311"/>
      <c r="G1525" s="307" t="str">
        <f t="shared" si="289"/>
        <v>-</v>
      </c>
      <c r="H1525" s="351">
        <f t="shared" si="290"/>
        <v>0</v>
      </c>
      <c r="I1525" s="537" t="str">
        <f t="shared" si="291"/>
        <v>-</v>
      </c>
      <c r="J1525" s="538">
        <f t="shared" si="292"/>
        <v>0</v>
      </c>
      <c r="K1525" s="539" t="s">
        <v>2299</v>
      </c>
      <c r="L1525" s="20"/>
    </row>
    <row r="1526" spans="1:13">
      <c r="A1526" s="14" t="s">
        <v>31</v>
      </c>
      <c r="D1526" s="18">
        <v>4</v>
      </c>
      <c r="E1526" s="26" t="str">
        <f t="shared" si="288"/>
        <v>-</v>
      </c>
      <c r="F1526" s="311"/>
      <c r="G1526" s="307" t="str">
        <f t="shared" si="289"/>
        <v>-</v>
      </c>
      <c r="H1526" s="351">
        <f t="shared" si="290"/>
        <v>0</v>
      </c>
      <c r="I1526" s="537" t="str">
        <f t="shared" si="291"/>
        <v>-</v>
      </c>
      <c r="J1526" s="538">
        <f t="shared" si="292"/>
        <v>0</v>
      </c>
      <c r="K1526" s="539" t="s">
        <v>2299</v>
      </c>
      <c r="L1526" s="20"/>
    </row>
    <row r="1527" spans="1:13">
      <c r="A1527" s="14" t="s">
        <v>31</v>
      </c>
      <c r="D1527" s="18">
        <v>5</v>
      </c>
      <c r="E1527" s="26" t="str">
        <f t="shared" si="288"/>
        <v>-</v>
      </c>
      <c r="F1527" s="311"/>
      <c r="G1527" s="307" t="str">
        <f t="shared" si="289"/>
        <v>-</v>
      </c>
      <c r="H1527" s="351">
        <f t="shared" si="290"/>
        <v>0</v>
      </c>
      <c r="I1527" s="537" t="str">
        <f t="shared" si="291"/>
        <v>-</v>
      </c>
      <c r="J1527" s="538">
        <f t="shared" si="292"/>
        <v>0</v>
      </c>
      <c r="K1527" s="539" t="s">
        <v>2299</v>
      </c>
      <c r="L1527" s="20"/>
    </row>
    <row r="1528" spans="1:13">
      <c r="A1528" s="14" t="s">
        <v>31</v>
      </c>
      <c r="D1528" s="18">
        <v>6</v>
      </c>
      <c r="E1528" s="26" t="str">
        <f t="shared" si="288"/>
        <v>-</v>
      </c>
      <c r="F1528" s="311"/>
      <c r="G1528" s="307" t="str">
        <f t="shared" si="289"/>
        <v>-</v>
      </c>
      <c r="H1528" s="351">
        <f t="shared" si="290"/>
        <v>0</v>
      </c>
      <c r="I1528" s="537" t="str">
        <f t="shared" si="291"/>
        <v>-</v>
      </c>
      <c r="J1528" s="538">
        <f t="shared" si="292"/>
        <v>0</v>
      </c>
      <c r="K1528" s="539" t="s">
        <v>2299</v>
      </c>
      <c r="L1528" s="20"/>
    </row>
    <row r="1529" spans="1:13">
      <c r="A1529" s="14" t="s">
        <v>31</v>
      </c>
      <c r="D1529" s="18">
        <v>7</v>
      </c>
      <c r="E1529" s="26" t="str">
        <f t="shared" si="288"/>
        <v>-</v>
      </c>
      <c r="F1529" s="311"/>
      <c r="G1529" s="307" t="str">
        <f t="shared" si="289"/>
        <v>-</v>
      </c>
      <c r="H1529" s="351">
        <f t="shared" si="290"/>
        <v>0</v>
      </c>
      <c r="I1529" s="537" t="str">
        <f t="shared" si="291"/>
        <v>-</v>
      </c>
      <c r="J1529" s="538">
        <f t="shared" si="292"/>
        <v>0</v>
      </c>
      <c r="K1529" s="539" t="s">
        <v>2299</v>
      </c>
      <c r="L1529" s="20"/>
    </row>
    <row r="1530" spans="1:13">
      <c r="A1530" s="14" t="s">
        <v>31</v>
      </c>
      <c r="D1530" s="18">
        <v>8</v>
      </c>
      <c r="E1530" s="26" t="str">
        <f t="shared" si="288"/>
        <v>-</v>
      </c>
      <c r="F1530" s="311"/>
      <c r="G1530" s="307" t="str">
        <f t="shared" si="289"/>
        <v>-</v>
      </c>
      <c r="H1530" s="351">
        <f t="shared" si="290"/>
        <v>0</v>
      </c>
      <c r="I1530" s="537" t="str">
        <f t="shared" si="291"/>
        <v>-</v>
      </c>
      <c r="J1530" s="538">
        <f t="shared" si="292"/>
        <v>0</v>
      </c>
      <c r="K1530" s="539" t="s">
        <v>2299</v>
      </c>
      <c r="L1530" s="20"/>
    </row>
    <row r="1531" spans="1:13">
      <c r="A1531" s="14" t="s">
        <v>31</v>
      </c>
      <c r="D1531" s="18">
        <v>9</v>
      </c>
      <c r="E1531" s="26" t="str">
        <f t="shared" si="288"/>
        <v>-</v>
      </c>
      <c r="F1531" s="311"/>
      <c r="G1531" s="307" t="str">
        <f t="shared" si="289"/>
        <v>-</v>
      </c>
      <c r="H1531" s="351">
        <f t="shared" si="290"/>
        <v>0</v>
      </c>
      <c r="I1531" s="537" t="str">
        <f t="shared" si="291"/>
        <v>-</v>
      </c>
      <c r="J1531" s="538">
        <f t="shared" si="292"/>
        <v>0</v>
      </c>
      <c r="K1531" s="539" t="s">
        <v>2299</v>
      </c>
      <c r="L1531" s="20"/>
    </row>
    <row r="1532" spans="1:13">
      <c r="A1532" s="14" t="s">
        <v>31</v>
      </c>
      <c r="D1532" s="18">
        <v>10</v>
      </c>
      <c r="E1532" s="26" t="str">
        <f t="shared" si="288"/>
        <v>-</v>
      </c>
      <c r="F1532" s="311"/>
      <c r="G1532" s="307" t="str">
        <f t="shared" si="289"/>
        <v>-</v>
      </c>
      <c r="H1532" s="351">
        <f t="shared" si="290"/>
        <v>0</v>
      </c>
      <c r="I1532" s="537" t="str">
        <f t="shared" si="291"/>
        <v>-</v>
      </c>
      <c r="J1532" s="538">
        <f t="shared" si="292"/>
        <v>0</v>
      </c>
      <c r="K1532" s="539" t="s">
        <v>2299</v>
      </c>
      <c r="L1532" s="20"/>
    </row>
    <row r="1533" spans="1:13">
      <c r="A1533" s="14" t="s">
        <v>31</v>
      </c>
      <c r="D1533" s="18">
        <v>11</v>
      </c>
      <c r="E1533" s="26" t="str">
        <f t="shared" si="288"/>
        <v>-</v>
      </c>
      <c r="F1533" s="311"/>
      <c r="G1533" s="307" t="str">
        <f t="shared" si="289"/>
        <v>-</v>
      </c>
      <c r="H1533" s="351">
        <f t="shared" si="290"/>
        <v>0</v>
      </c>
      <c r="I1533" s="537" t="str">
        <f t="shared" si="291"/>
        <v>-</v>
      </c>
      <c r="J1533" s="538">
        <f t="shared" si="292"/>
        <v>0</v>
      </c>
      <c r="K1533" s="539" t="s">
        <v>2299</v>
      </c>
      <c r="L1533" s="20"/>
    </row>
    <row r="1534" spans="1:13">
      <c r="A1534" s="14" t="s">
        <v>31</v>
      </c>
      <c r="D1534" s="18">
        <v>12</v>
      </c>
      <c r="E1534" s="26" t="str">
        <f t="shared" si="288"/>
        <v>-</v>
      </c>
      <c r="F1534" s="311"/>
      <c r="G1534" s="307" t="str">
        <f t="shared" si="289"/>
        <v>-</v>
      </c>
      <c r="H1534" s="352">
        <f t="shared" si="290"/>
        <v>0</v>
      </c>
      <c r="I1534" s="537" t="str">
        <f t="shared" si="291"/>
        <v>-</v>
      </c>
      <c r="J1534" s="538">
        <f t="shared" si="292"/>
        <v>0</v>
      </c>
      <c r="K1534" s="539" t="s">
        <v>2299</v>
      </c>
      <c r="L1534" s="20"/>
    </row>
    <row r="1535" spans="1:13">
      <c r="A1535" s="14" t="s">
        <v>31</v>
      </c>
      <c r="D1535" s="18">
        <v>13</v>
      </c>
      <c r="E1535" s="26" t="str">
        <f t="shared" si="288"/>
        <v>-</v>
      </c>
      <c r="F1535" s="311"/>
      <c r="G1535" s="307" t="str">
        <f t="shared" si="289"/>
        <v>-</v>
      </c>
      <c r="H1535" s="352">
        <f t="shared" si="290"/>
        <v>0</v>
      </c>
      <c r="I1535" s="537" t="str">
        <f t="shared" si="291"/>
        <v>-</v>
      </c>
      <c r="J1535" s="538">
        <f t="shared" si="292"/>
        <v>0</v>
      </c>
      <c r="K1535" s="539" t="s">
        <v>2299</v>
      </c>
      <c r="L1535" s="20"/>
    </row>
    <row r="1536" spans="1:13">
      <c r="A1536" s="14" t="s">
        <v>31</v>
      </c>
      <c r="D1536" s="18">
        <v>14</v>
      </c>
      <c r="E1536" s="26" t="str">
        <f t="shared" si="288"/>
        <v>-</v>
      </c>
      <c r="F1536" s="311"/>
      <c r="G1536" s="307" t="str">
        <f t="shared" si="289"/>
        <v>-</v>
      </c>
      <c r="H1536" s="352">
        <f t="shared" si="290"/>
        <v>0</v>
      </c>
      <c r="I1536" s="537" t="str">
        <f t="shared" si="291"/>
        <v>-</v>
      </c>
      <c r="J1536" s="538">
        <f t="shared" si="292"/>
        <v>0</v>
      </c>
      <c r="K1536" s="539" t="s">
        <v>2299</v>
      </c>
      <c r="L1536" s="20"/>
    </row>
    <row r="1537" spans="1:19">
      <c r="A1537" s="14" t="s">
        <v>31</v>
      </c>
      <c r="D1537" s="18">
        <v>15</v>
      </c>
      <c r="E1537" s="26" t="str">
        <f t="shared" si="288"/>
        <v>-</v>
      </c>
      <c r="F1537" s="311"/>
      <c r="G1537" s="307" t="str">
        <f t="shared" si="289"/>
        <v>-</v>
      </c>
      <c r="H1537" s="352">
        <f t="shared" si="290"/>
        <v>0</v>
      </c>
      <c r="I1537" s="537" t="str">
        <f t="shared" si="291"/>
        <v>-</v>
      </c>
      <c r="J1537" s="538">
        <f t="shared" si="292"/>
        <v>0</v>
      </c>
      <c r="K1537" s="539" t="s">
        <v>2299</v>
      </c>
      <c r="L1537" s="20"/>
    </row>
    <row r="1538" spans="1:19">
      <c r="A1538" s="14" t="s">
        <v>31</v>
      </c>
      <c r="D1538" s="18">
        <v>16</v>
      </c>
      <c r="E1538" s="26" t="str">
        <f t="shared" si="288"/>
        <v>-</v>
      </c>
      <c r="F1538" s="311"/>
      <c r="G1538" s="307" t="str">
        <f t="shared" si="289"/>
        <v>-</v>
      </c>
      <c r="H1538" s="352">
        <f t="shared" si="290"/>
        <v>0</v>
      </c>
      <c r="I1538" s="537" t="str">
        <f t="shared" si="291"/>
        <v>-</v>
      </c>
      <c r="J1538" s="538">
        <f t="shared" si="292"/>
        <v>0</v>
      </c>
      <c r="K1538" s="539" t="s">
        <v>2299</v>
      </c>
      <c r="L1538" s="20"/>
    </row>
    <row r="1539" spans="1:19">
      <c r="A1539" s="14" t="s">
        <v>31</v>
      </c>
      <c r="D1539" s="18">
        <v>17</v>
      </c>
      <c r="E1539" s="26" t="str">
        <f t="shared" si="288"/>
        <v>-</v>
      </c>
      <c r="F1539" s="311"/>
      <c r="G1539" s="307" t="str">
        <f t="shared" si="289"/>
        <v>-</v>
      </c>
      <c r="H1539" s="352">
        <f t="shared" si="290"/>
        <v>0</v>
      </c>
      <c r="I1539" s="537" t="str">
        <f t="shared" si="291"/>
        <v>-</v>
      </c>
      <c r="J1539" s="538">
        <f t="shared" si="292"/>
        <v>0</v>
      </c>
      <c r="K1539" s="539" t="s">
        <v>2299</v>
      </c>
      <c r="L1539" s="20"/>
    </row>
    <row r="1540" spans="1:19">
      <c r="A1540" s="14" t="s">
        <v>31</v>
      </c>
      <c r="D1540" s="18">
        <v>18</v>
      </c>
      <c r="E1540" s="26" t="str">
        <f t="shared" si="288"/>
        <v>-</v>
      </c>
      <c r="F1540" s="311"/>
      <c r="G1540" s="307" t="str">
        <f t="shared" si="289"/>
        <v>-</v>
      </c>
      <c r="H1540" s="352">
        <f t="shared" si="290"/>
        <v>0</v>
      </c>
      <c r="I1540" s="537" t="str">
        <f t="shared" si="291"/>
        <v>-</v>
      </c>
      <c r="J1540" s="538">
        <f t="shared" si="292"/>
        <v>0</v>
      </c>
      <c r="K1540" s="539" t="s">
        <v>2299</v>
      </c>
      <c r="L1540" s="20"/>
    </row>
    <row r="1541" spans="1:19">
      <c r="A1541" s="14" t="s">
        <v>31</v>
      </c>
      <c r="D1541" s="18">
        <v>19</v>
      </c>
      <c r="E1541" s="26" t="str">
        <f t="shared" si="288"/>
        <v>-</v>
      </c>
      <c r="F1541" s="311"/>
      <c r="G1541" s="307" t="str">
        <f t="shared" si="289"/>
        <v>-</v>
      </c>
      <c r="H1541" s="352">
        <f t="shared" si="290"/>
        <v>0</v>
      </c>
      <c r="I1541" s="537" t="str">
        <f t="shared" si="291"/>
        <v>-</v>
      </c>
      <c r="J1541" s="538">
        <f t="shared" si="292"/>
        <v>0</v>
      </c>
      <c r="K1541" s="539" t="s">
        <v>2299</v>
      </c>
      <c r="L1541" s="20"/>
    </row>
    <row r="1542" spans="1:19">
      <c r="A1542" s="14" t="s">
        <v>31</v>
      </c>
      <c r="D1542" s="18">
        <v>20</v>
      </c>
      <c r="E1542" s="26" t="str">
        <f t="shared" si="288"/>
        <v>-</v>
      </c>
      <c r="F1542" s="311"/>
      <c r="G1542" s="307" t="str">
        <f t="shared" si="289"/>
        <v>-</v>
      </c>
      <c r="H1542" s="352">
        <f t="shared" si="290"/>
        <v>0</v>
      </c>
      <c r="I1542" s="537" t="str">
        <f t="shared" si="291"/>
        <v>-</v>
      </c>
      <c r="J1542" s="541">
        <f t="shared" si="292"/>
        <v>0</v>
      </c>
      <c r="K1542" s="539" t="s">
        <v>2299</v>
      </c>
      <c r="L1542" s="20"/>
    </row>
    <row r="1543" spans="1:19">
      <c r="A1543" s="14">
        <f>A1510+1</f>
        <v>33</v>
      </c>
      <c r="B1543" s="14" t="str">
        <f>"MA" &amp; TEXT(A1543,"##000")</f>
        <v>MA033</v>
      </c>
      <c r="D1543" s="18"/>
      <c r="E1543" s="591" t="s">
        <v>2302</v>
      </c>
      <c r="F1543" s="592"/>
      <c r="G1543" s="592"/>
      <c r="H1543" s="592"/>
      <c r="I1543" s="327"/>
      <c r="J1543" s="353">
        <f>SUM(J1523:J1542)</f>
        <v>296.71074380165288</v>
      </c>
      <c r="K1543" s="365" t="str">
        <f>+F1520</f>
        <v>m2</v>
      </c>
      <c r="L1543" s="20"/>
      <c r="O1543" s="27" t="s">
        <v>1525</v>
      </c>
      <c r="P1543" s="110">
        <v>20</v>
      </c>
    </row>
    <row r="1544" spans="1:19">
      <c r="D1544" s="18"/>
      <c r="E1544" s="593" t="s">
        <v>100</v>
      </c>
      <c r="F1544" s="594"/>
      <c r="G1544" s="594"/>
      <c r="H1544" s="594"/>
      <c r="I1544" s="594"/>
      <c r="J1544" s="595"/>
      <c r="K1544" s="347"/>
      <c r="L1544" s="20"/>
      <c r="O1544" s="27" t="s">
        <v>1524</v>
      </c>
      <c r="P1544" s="110">
        <v>0</v>
      </c>
    </row>
    <row r="1545" spans="1:19">
      <c r="A1545" s="14" t="s">
        <v>84</v>
      </c>
      <c r="D1545" s="18">
        <v>1</v>
      </c>
      <c r="E1545" s="26" t="str">
        <f>VLOOKUP($A1545,MATMO,2,FALSE)</f>
        <v>Oficial</v>
      </c>
      <c r="F1545" s="311">
        <v>0.27</v>
      </c>
      <c r="G1545" s="307" t="str">
        <f>VLOOKUP($A1545,MATMO,3,FALSE)</f>
        <v>hs</v>
      </c>
      <c r="H1545" s="110">
        <f>VLOOKUP($A1545,MATMO,4,FALSE)*$Q$7</f>
        <v>55.38</v>
      </c>
      <c r="I1545" s="354" t="str">
        <f t="shared" ref="I1545:I1549" si="293">+G1545</f>
        <v>hs</v>
      </c>
      <c r="J1545" s="350">
        <f t="shared" ref="J1545:J1549" si="294">+H1545*F1545</f>
        <v>14.952600000000002</v>
      </c>
      <c r="K1545" s="360" t="s">
        <v>2299</v>
      </c>
      <c r="L1545" s="20"/>
      <c r="M1545" s="14" t="s">
        <v>2006</v>
      </c>
      <c r="O1545" s="27" t="s">
        <v>1526</v>
      </c>
      <c r="P1545" s="110">
        <v>0</v>
      </c>
    </row>
    <row r="1546" spans="1:19">
      <c r="A1546" s="14" t="s">
        <v>85</v>
      </c>
      <c r="D1546" s="18">
        <v>2</v>
      </c>
      <c r="E1546" s="26" t="str">
        <f>VLOOKUP($A1546,MATMO,2,FALSE)</f>
        <v>Ayudante</v>
      </c>
      <c r="F1546" s="311">
        <v>0.1</v>
      </c>
      <c r="G1546" s="307" t="str">
        <f>VLOOKUP($A1546,MATMO,3,FALSE)</f>
        <v>hs</v>
      </c>
      <c r="H1546" s="110">
        <f>VLOOKUP($A1546,MATMO,4,FALSE)*$Q$7</f>
        <v>46.87</v>
      </c>
      <c r="I1546" s="354" t="str">
        <f t="shared" si="293"/>
        <v>hs</v>
      </c>
      <c r="J1546" s="350">
        <f t="shared" si="294"/>
        <v>4.6870000000000003</v>
      </c>
      <c r="K1546" s="360" t="s">
        <v>2299</v>
      </c>
      <c r="L1546" s="20"/>
      <c r="O1546" s="27" t="s">
        <v>1527</v>
      </c>
      <c r="P1546" s="110">
        <v>0</v>
      </c>
    </row>
    <row r="1547" spans="1:19">
      <c r="A1547" s="14" t="s">
        <v>2311</v>
      </c>
      <c r="D1547" s="18">
        <v>3</v>
      </c>
      <c r="E1547" s="26" t="str">
        <f>VLOOKUP($A1547,MATMO,2,FALSE)</f>
        <v>Cargas Sociales Oficial</v>
      </c>
      <c r="F1547" s="311">
        <f>+F1545</f>
        <v>0.27</v>
      </c>
      <c r="G1547" s="307" t="str">
        <f>VLOOKUP($A1547,MATMO,3,FALSE)</f>
        <v>hs</v>
      </c>
      <c r="H1547" s="110">
        <f>VLOOKUP($A1547,MATMO,4,FALSE)*$Q$7</f>
        <v>52.742782499999997</v>
      </c>
      <c r="I1547" s="354" t="str">
        <f t="shared" si="293"/>
        <v>hs</v>
      </c>
      <c r="J1547" s="350">
        <f t="shared" si="294"/>
        <v>14.240551275</v>
      </c>
      <c r="K1547" s="360" t="s">
        <v>2299</v>
      </c>
      <c r="L1547" s="20"/>
      <c r="O1547" s="27"/>
      <c r="P1547" s="110">
        <v>0</v>
      </c>
    </row>
    <row r="1548" spans="1:19">
      <c r="A1548" s="14" t="s">
        <v>2312</v>
      </c>
      <c r="D1548" s="18">
        <v>4</v>
      </c>
      <c r="E1548" s="26" t="str">
        <f>VLOOKUP($A1548,MATMO,2,FALSE)</f>
        <v>Cargas Sociales Ayudante</v>
      </c>
      <c r="F1548" s="311">
        <f>+F1546</f>
        <v>0.1</v>
      </c>
      <c r="G1548" s="307" t="str">
        <f>VLOOKUP($A1548,MATMO,3,FALSE)</f>
        <v>hs</v>
      </c>
      <c r="H1548" s="110">
        <f>VLOOKUP($A1548,MATMO,4,FALSE)*$Q$7</f>
        <v>45.108248750000001</v>
      </c>
      <c r="I1548" s="354" t="str">
        <f t="shared" si="293"/>
        <v>hs</v>
      </c>
      <c r="J1548" s="350">
        <f t="shared" si="294"/>
        <v>4.510824875</v>
      </c>
      <c r="K1548" s="360" t="s">
        <v>2299</v>
      </c>
      <c r="L1548" s="20"/>
      <c r="O1548" s="27"/>
      <c r="P1548" s="110">
        <v>0</v>
      </c>
    </row>
    <row r="1549" spans="1:19" ht="16.5" thickBot="1">
      <c r="A1549" s="14" t="s">
        <v>83</v>
      </c>
      <c r="D1549" s="18">
        <v>5</v>
      </c>
      <c r="E1549" s="26" t="str">
        <f>VLOOKUP($A1549,MATMO,2,FALSE)</f>
        <v>-</v>
      </c>
      <c r="F1549" s="311"/>
      <c r="G1549" s="307" t="str">
        <f>VLOOKUP($A1549,MATMO,3,FALSE)</f>
        <v>-</v>
      </c>
      <c r="H1549" s="110">
        <f>VLOOKUP($A1549,MATMO,4,FALSE)*$Q$7</f>
        <v>0</v>
      </c>
      <c r="I1549" s="537" t="str">
        <f t="shared" si="293"/>
        <v>-</v>
      </c>
      <c r="J1549" s="538">
        <f t="shared" si="294"/>
        <v>0</v>
      </c>
      <c r="K1549" s="539" t="s">
        <v>2299</v>
      </c>
      <c r="L1549" s="20"/>
      <c r="O1549" s="27"/>
      <c r="P1549" s="110">
        <v>0</v>
      </c>
      <c r="R1549" s="29" t="s">
        <v>2307</v>
      </c>
    </row>
    <row r="1550" spans="1:19" ht="16.5" thickBot="1">
      <c r="A1550" s="14">
        <f>A1510+1</f>
        <v>33</v>
      </c>
      <c r="B1550" s="14" t="str">
        <f>"MO" &amp; TEXT(A1550,"##000")</f>
        <v>MO033</v>
      </c>
      <c r="D1550" s="18"/>
      <c r="E1550" s="591" t="s">
        <v>2301</v>
      </c>
      <c r="F1550" s="592"/>
      <c r="G1550" s="592"/>
      <c r="H1550" s="592"/>
      <c r="I1550" s="327"/>
      <c r="J1550" s="362">
        <f>SUM(J1545:J1549)</f>
        <v>38.39097615</v>
      </c>
      <c r="K1550" s="365" t="str">
        <f>+G1545</f>
        <v>hs</v>
      </c>
      <c r="L1550" s="20"/>
      <c r="N1550" s="111">
        <f>+P1550+R1550</f>
        <v>38</v>
      </c>
      <c r="O1550" s="27"/>
      <c r="P1550" s="27">
        <f>SUM(P1543:P1549)</f>
        <v>20</v>
      </c>
      <c r="Q1550" s="26">
        <v>0.9</v>
      </c>
      <c r="R1550" s="287">
        <f>+Q1550*P1550</f>
        <v>18</v>
      </c>
      <c r="S1550" s="288"/>
    </row>
    <row r="1551" spans="1:19">
      <c r="D1551" s="18"/>
      <c r="E1551" s="593" t="s">
        <v>101</v>
      </c>
      <c r="F1551" s="594"/>
      <c r="G1551" s="594"/>
      <c r="H1551" s="594"/>
      <c r="I1551" s="594"/>
      <c r="J1551" s="595"/>
      <c r="K1551" s="347"/>
      <c r="L1551" s="20"/>
      <c r="P1551" s="14" t="s">
        <v>2308</v>
      </c>
    </row>
    <row r="1552" spans="1:19">
      <c r="A1552" s="14" t="s">
        <v>119</v>
      </c>
      <c r="D1552" s="18">
        <v>1</v>
      </c>
      <c r="E1552" s="26" t="str">
        <f>VLOOKUP($A1552,MATMO,2,FALSE)</f>
        <v>Herramientas de Mano</v>
      </c>
      <c r="F1552" s="311">
        <v>1</v>
      </c>
      <c r="G1552" s="307" t="str">
        <f>VLOOKUP($A1552,MATMO,3,FALSE)</f>
        <v>gl</v>
      </c>
      <c r="H1552" s="110">
        <f>+(J1543+J1550)*$Q$5</f>
        <v>13.404068798066115</v>
      </c>
      <c r="I1552" s="345" t="str">
        <f>+G1552</f>
        <v>gl</v>
      </c>
      <c r="J1552" s="350">
        <f t="shared" ref="J1552:J1556" si="295">+H1552*F1552</f>
        <v>13.404068798066115</v>
      </c>
      <c r="K1552" s="360" t="s">
        <v>2299</v>
      </c>
      <c r="L1552" s="20"/>
      <c r="M1552" s="14" t="s">
        <v>2004</v>
      </c>
    </row>
    <row r="1553" spans="1:12">
      <c r="A1553" s="14" t="s">
        <v>118</v>
      </c>
      <c r="D1553" s="18">
        <v>2</v>
      </c>
      <c r="E1553" s="26" t="str">
        <f>VLOOKUP($A1553,MATMO,2,FALSE)</f>
        <v>-</v>
      </c>
      <c r="F1553" s="311"/>
      <c r="G1553" s="307" t="str">
        <f>VLOOKUP($A1553,MATMO,3,FALSE)</f>
        <v>-</v>
      </c>
      <c r="H1553" s="110">
        <f>VLOOKUP($A1553,MATMO,4,FALSE)*$Q$6</f>
        <v>0</v>
      </c>
      <c r="I1553" s="543" t="str">
        <f t="shared" ref="I1553:I1556" si="296">+G1553</f>
        <v>-</v>
      </c>
      <c r="J1553" s="538">
        <f t="shared" si="295"/>
        <v>0</v>
      </c>
      <c r="K1553" s="539" t="s">
        <v>2299</v>
      </c>
      <c r="L1553" s="20"/>
    </row>
    <row r="1554" spans="1:12">
      <c r="A1554" s="14" t="s">
        <v>118</v>
      </c>
      <c r="D1554" s="18">
        <v>3</v>
      </c>
      <c r="E1554" s="26" t="str">
        <f>VLOOKUP($A1554,MATMO,2,FALSE)</f>
        <v>-</v>
      </c>
      <c r="F1554" s="311"/>
      <c r="G1554" s="307" t="str">
        <f>VLOOKUP($A1554,MATMO,3,FALSE)</f>
        <v>-</v>
      </c>
      <c r="H1554" s="110">
        <f>VLOOKUP($A1554,MATMO,4,FALSE)*$Q$6</f>
        <v>0</v>
      </c>
      <c r="I1554" s="543" t="str">
        <f t="shared" si="296"/>
        <v>-</v>
      </c>
      <c r="J1554" s="538">
        <f t="shared" si="295"/>
        <v>0</v>
      </c>
      <c r="K1554" s="539" t="s">
        <v>2299</v>
      </c>
      <c r="L1554" s="20"/>
    </row>
    <row r="1555" spans="1:12">
      <c r="A1555" s="14" t="s">
        <v>118</v>
      </c>
      <c r="D1555" s="18">
        <v>4</v>
      </c>
      <c r="E1555" s="26" t="str">
        <f>VLOOKUP($A1555,MATMO,2,FALSE)</f>
        <v>-</v>
      </c>
      <c r="F1555" s="311"/>
      <c r="G1555" s="307" t="str">
        <f>VLOOKUP($A1555,MATMO,3,FALSE)</f>
        <v>-</v>
      </c>
      <c r="H1555" s="110">
        <f>VLOOKUP($A1555,MATMO,4,FALSE)*$Q$6</f>
        <v>0</v>
      </c>
      <c r="I1555" s="543" t="str">
        <f t="shared" si="296"/>
        <v>-</v>
      </c>
      <c r="J1555" s="538">
        <f t="shared" si="295"/>
        <v>0</v>
      </c>
      <c r="K1555" s="539" t="s">
        <v>2299</v>
      </c>
      <c r="L1555" s="20"/>
    </row>
    <row r="1556" spans="1:12">
      <c r="A1556" s="14" t="s">
        <v>118</v>
      </c>
      <c r="D1556" s="18">
        <v>5</v>
      </c>
      <c r="E1556" s="26" t="str">
        <f>VLOOKUP($A1556,MATMO,2,FALSE)</f>
        <v>-</v>
      </c>
      <c r="F1556" s="311"/>
      <c r="G1556" s="307" t="str">
        <f>VLOOKUP($A1556,MATMO,3,FALSE)</f>
        <v>-</v>
      </c>
      <c r="H1556" s="110">
        <f>VLOOKUP($A1556,MATMO,4,FALSE)*$Q$6</f>
        <v>0</v>
      </c>
      <c r="I1556" s="543" t="str">
        <f t="shared" si="296"/>
        <v>-</v>
      </c>
      <c r="J1556" s="538">
        <f t="shared" si="295"/>
        <v>0</v>
      </c>
      <c r="K1556" s="539" t="s">
        <v>2299</v>
      </c>
      <c r="L1556" s="20"/>
    </row>
    <row r="1557" spans="1:12">
      <c r="A1557" s="14">
        <f>A1510+1</f>
        <v>33</v>
      </c>
      <c r="B1557" s="14" t="str">
        <f>"E" &amp; TEXT(A1557,"##000")</f>
        <v>E033</v>
      </c>
      <c r="D1557" s="18"/>
      <c r="E1557" s="591" t="s">
        <v>2300</v>
      </c>
      <c r="F1557" s="592"/>
      <c r="G1557" s="592"/>
      <c r="H1557" s="592"/>
      <c r="I1557" s="327"/>
      <c r="J1557" s="362">
        <f>SUM(J1552:J1556)</f>
        <v>13.404068798066115</v>
      </c>
      <c r="K1557" s="365" t="s">
        <v>116</v>
      </c>
      <c r="L1557" s="20"/>
    </row>
    <row r="1558" spans="1:12">
      <c r="D1558" s="18"/>
      <c r="E1558" s="596"/>
      <c r="F1558" s="597"/>
      <c r="G1558" s="597"/>
      <c r="H1558" s="597"/>
      <c r="I1558" s="597"/>
      <c r="J1558" s="598"/>
      <c r="K1558" s="348"/>
      <c r="L1558" s="20"/>
    </row>
    <row r="1559" spans="1:12">
      <c r="D1559" s="18"/>
      <c r="E1559" s="591" t="s">
        <v>2306</v>
      </c>
      <c r="F1559" s="592"/>
      <c r="G1559" s="592"/>
      <c r="H1559" s="592"/>
      <c r="I1559" s="327"/>
      <c r="J1559" s="308">
        <f>+J1557+J1550+J1543</f>
        <v>348.50578874971899</v>
      </c>
      <c r="K1559" s="365" t="str">
        <f>+F1520</f>
        <v>m2</v>
      </c>
      <c r="L1559" s="20"/>
    </row>
    <row r="1560" spans="1:12">
      <c r="D1560" s="18"/>
      <c r="E1560" s="591" t="s">
        <v>2305</v>
      </c>
      <c r="F1560" s="592"/>
      <c r="G1560" s="592"/>
      <c r="H1560" s="592"/>
      <c r="I1560" s="406">
        <f>+$Q$9</f>
        <v>1.6902999999999999</v>
      </c>
      <c r="J1560" s="308">
        <f>+$Q$9*J1559</f>
        <v>589.07933472364994</v>
      </c>
      <c r="K1560" s="365" t="str">
        <f>+F1520</f>
        <v>m2</v>
      </c>
      <c r="L1560" s="20"/>
    </row>
    <row r="1561" spans="1:12">
      <c r="A1561" s="14">
        <f>A1514+1</f>
        <v>33</v>
      </c>
      <c r="B1561" s="14" t="str">
        <f>"TR" &amp; TEXT(A1561,"##000")</f>
        <v>TR033</v>
      </c>
      <c r="C1561" s="14">
        <f>+C1514+1</f>
        <v>33</v>
      </c>
      <c r="D1561" s="18"/>
      <c r="E1561" s="591" t="s">
        <v>2304</v>
      </c>
      <c r="F1561" s="592"/>
      <c r="G1561" s="592"/>
      <c r="H1561" s="592"/>
      <c r="I1561" s="327"/>
      <c r="J1561" s="308">
        <f>+J1560</f>
        <v>589.07933472364994</v>
      </c>
      <c r="K1561" s="365" t="str">
        <f>+F1520</f>
        <v>m2</v>
      </c>
      <c r="L1561" s="20"/>
    </row>
    <row r="1562" spans="1:12" ht="16.5" thickBot="1">
      <c r="D1562" s="21"/>
      <c r="E1562" s="30"/>
      <c r="F1562" s="30"/>
      <c r="G1562" s="30"/>
      <c r="H1562" s="30"/>
      <c r="I1562" s="30"/>
      <c r="J1562" s="30"/>
      <c r="K1562" s="349"/>
      <c r="L1562" s="22"/>
    </row>
    <row r="1563" spans="1:12" ht="16.5" thickTop="1">
      <c r="D1563" s="15"/>
      <c r="E1563" s="16"/>
      <c r="F1563" s="16"/>
      <c r="G1563" s="16"/>
      <c r="H1563" s="16"/>
      <c r="I1563" s="16"/>
      <c r="J1563" s="16"/>
      <c r="K1563" s="16"/>
      <c r="L1563" s="17"/>
    </row>
    <row r="1564" spans="1:12">
      <c r="A1564" s="14" t="s">
        <v>1854</v>
      </c>
      <c r="D1564" s="18"/>
      <c r="E1564" s="23" t="s">
        <v>95</v>
      </c>
      <c r="F1564" s="24" t="str">
        <f>VLOOKUP($A1564,DATRUB,3,FALSE)</f>
        <v>RUBRO VIII:</v>
      </c>
      <c r="G1564" s="599" t="str">
        <f>VLOOKUP($A1564,DATRUB,4,FALSE)</f>
        <v>REVESTIMIENTOS</v>
      </c>
      <c r="H1564" s="599"/>
      <c r="I1564" s="599"/>
      <c r="J1564" s="599"/>
      <c r="K1564" s="599"/>
      <c r="L1564" s="20"/>
    </row>
    <row r="1565" spans="1:12" ht="35.1" customHeight="1">
      <c r="A1565" s="14" t="s">
        <v>1855</v>
      </c>
      <c r="D1565" s="18"/>
      <c r="E1565" s="23" t="s">
        <v>96</v>
      </c>
      <c r="F1565" s="399">
        <f>VLOOKUP($A1565,DATRUB,3,FALSE)</f>
        <v>8.1</v>
      </c>
      <c r="G1565" s="599" t="str">
        <f>VLOOKUP($A1565,DATRUB,4,FALSE)</f>
        <v>Ceramico</v>
      </c>
      <c r="H1565" s="599"/>
      <c r="I1565" s="599"/>
      <c r="J1565" s="599"/>
      <c r="K1565" s="599"/>
      <c r="L1565" s="20"/>
    </row>
    <row r="1566" spans="1:12" ht="35.1" customHeight="1">
      <c r="A1566" s="14" t="s">
        <v>1855</v>
      </c>
      <c r="D1566" s="18"/>
      <c r="E1566" s="23" t="s">
        <v>97</v>
      </c>
      <c r="F1566" s="399">
        <f>VLOOKUP($A1566,DATRUB,3,FALSE)</f>
        <v>8.1</v>
      </c>
      <c r="G1566" s="599" t="str">
        <f>VLOOKUP($A1566,DATRUB,4,FALSE)</f>
        <v>Ceramico</v>
      </c>
      <c r="H1566" s="599"/>
      <c r="I1566" s="599"/>
      <c r="J1566" s="599"/>
      <c r="K1566" s="599"/>
      <c r="L1566" s="20"/>
    </row>
    <row r="1567" spans="1:12">
      <c r="D1567" s="18"/>
      <c r="E1567" s="23" t="s">
        <v>98</v>
      </c>
      <c r="F1567" s="24" t="str">
        <f>VLOOKUP($A1566,DATRUB,5,FALSE)</f>
        <v>m2</v>
      </c>
      <c r="G1567" s="600"/>
      <c r="H1567" s="600"/>
      <c r="I1567" s="600"/>
      <c r="J1567" s="600"/>
      <c r="K1567" s="600"/>
      <c r="L1567" s="20"/>
    </row>
    <row r="1568" spans="1:12">
      <c r="D1568" s="18"/>
      <c r="E1568" s="24" t="s">
        <v>1158</v>
      </c>
      <c r="F1568" s="25" t="s">
        <v>1250</v>
      </c>
      <c r="G1568" s="24" t="s">
        <v>24</v>
      </c>
      <c r="H1568" s="24" t="s">
        <v>25</v>
      </c>
      <c r="I1568" s="24" t="s">
        <v>24</v>
      </c>
      <c r="J1568" s="24" t="s">
        <v>2298</v>
      </c>
      <c r="K1568" s="24" t="s">
        <v>24</v>
      </c>
      <c r="L1568" s="20"/>
    </row>
    <row r="1569" spans="1:13">
      <c r="D1569" s="18"/>
      <c r="E1569" s="593" t="s">
        <v>99</v>
      </c>
      <c r="F1569" s="594"/>
      <c r="G1569" s="594"/>
      <c r="H1569" s="594"/>
      <c r="I1569" s="594"/>
      <c r="J1569" s="594"/>
      <c r="K1569" s="595"/>
      <c r="L1569" s="20"/>
    </row>
    <row r="1570" spans="1:13">
      <c r="A1570" s="14" t="s">
        <v>2474</v>
      </c>
      <c r="D1570" s="18">
        <v>1</v>
      </c>
      <c r="E1570" s="355" t="str">
        <f t="shared" ref="E1570:E1589" si="297">VLOOKUP($A1570,MATMO,2,FALSE)</f>
        <v>Ceramico para pared</v>
      </c>
      <c r="F1570" s="356">
        <v>1.2</v>
      </c>
      <c r="G1570" s="357" t="str">
        <f t="shared" ref="G1570:G1589" si="298">VLOOKUP($A1570,MATMO,3,FALSE)</f>
        <v>m²</v>
      </c>
      <c r="H1570" s="358">
        <f t="shared" ref="H1570:H1589" si="299">VLOOKUP($A1570,MATMO,4,FALSE)*$Q$6</f>
        <v>100</v>
      </c>
      <c r="I1570" s="359" t="str">
        <f t="shared" ref="I1570:I1589" si="300">+G1570</f>
        <v>m²</v>
      </c>
      <c r="J1570" s="361">
        <f>+H1570*F1570</f>
        <v>120</v>
      </c>
      <c r="K1570" s="360" t="s">
        <v>2299</v>
      </c>
      <c r="L1570" s="20"/>
      <c r="M1570" s="14" t="s">
        <v>2005</v>
      </c>
    </row>
    <row r="1571" spans="1:13">
      <c r="A1571" s="14" t="s">
        <v>2470</v>
      </c>
      <c r="D1571" s="18">
        <v>2</v>
      </c>
      <c r="E1571" s="26" t="str">
        <f t="shared" si="297"/>
        <v>Pegamento para cerámico</v>
      </c>
      <c r="F1571" s="311">
        <v>7.5</v>
      </c>
      <c r="G1571" s="307" t="str">
        <f t="shared" si="298"/>
        <v>kg</v>
      </c>
      <c r="H1571" s="351">
        <f t="shared" si="299"/>
        <v>3.7</v>
      </c>
      <c r="I1571" s="354" t="str">
        <f t="shared" si="300"/>
        <v>kg</v>
      </c>
      <c r="J1571" s="350">
        <f t="shared" ref="J1571:J1589" si="301">+H1571*F1571</f>
        <v>27.75</v>
      </c>
      <c r="K1571" s="360" t="s">
        <v>2299</v>
      </c>
      <c r="L1571" s="20"/>
    </row>
    <row r="1572" spans="1:13">
      <c r="A1572" s="14" t="s">
        <v>2467</v>
      </c>
      <c r="D1572" s="18">
        <v>3</v>
      </c>
      <c r="E1572" s="26" t="str">
        <f t="shared" si="297"/>
        <v>Pastina</v>
      </c>
      <c r="F1572" s="311">
        <v>0.25</v>
      </c>
      <c r="G1572" s="307" t="str">
        <f t="shared" si="298"/>
        <v>kg</v>
      </c>
      <c r="H1572" s="351">
        <f t="shared" si="299"/>
        <v>18.649999999999999</v>
      </c>
      <c r="I1572" s="354" t="str">
        <f t="shared" si="300"/>
        <v>kg</v>
      </c>
      <c r="J1572" s="350">
        <f t="shared" si="301"/>
        <v>4.6624999999999996</v>
      </c>
      <c r="K1572" s="360" t="s">
        <v>2299</v>
      </c>
      <c r="L1572" s="20"/>
    </row>
    <row r="1573" spans="1:13">
      <c r="A1573" s="14" t="s">
        <v>2469</v>
      </c>
      <c r="D1573" s="18">
        <v>4</v>
      </c>
      <c r="E1573" s="26" t="str">
        <f t="shared" si="297"/>
        <v>Junta de Aluminio 10*10</v>
      </c>
      <c r="F1573" s="311">
        <v>0.3</v>
      </c>
      <c r="G1573" s="307" t="str">
        <f t="shared" si="298"/>
        <v>ml</v>
      </c>
      <c r="H1573" s="351">
        <f t="shared" si="299"/>
        <v>11.726000000000001</v>
      </c>
      <c r="I1573" s="354" t="str">
        <f t="shared" si="300"/>
        <v>ml</v>
      </c>
      <c r="J1573" s="350">
        <f t="shared" si="301"/>
        <v>3.5178000000000003</v>
      </c>
      <c r="K1573" s="360" t="s">
        <v>2299</v>
      </c>
      <c r="L1573" s="20"/>
    </row>
    <row r="1574" spans="1:13">
      <c r="A1574" s="14" t="s">
        <v>31</v>
      </c>
      <c r="D1574" s="18">
        <v>5</v>
      </c>
      <c r="E1574" s="26" t="str">
        <f t="shared" si="297"/>
        <v>-</v>
      </c>
      <c r="F1574" s="311"/>
      <c r="G1574" s="307" t="str">
        <f t="shared" si="298"/>
        <v>-</v>
      </c>
      <c r="H1574" s="351">
        <f t="shared" si="299"/>
        <v>0</v>
      </c>
      <c r="I1574" s="537" t="str">
        <f t="shared" si="300"/>
        <v>-</v>
      </c>
      <c r="J1574" s="538">
        <f t="shared" si="301"/>
        <v>0</v>
      </c>
      <c r="K1574" s="539" t="s">
        <v>2299</v>
      </c>
      <c r="L1574" s="20"/>
    </row>
    <row r="1575" spans="1:13">
      <c r="A1575" s="14" t="s">
        <v>31</v>
      </c>
      <c r="D1575" s="18">
        <v>6</v>
      </c>
      <c r="E1575" s="26" t="str">
        <f t="shared" si="297"/>
        <v>-</v>
      </c>
      <c r="F1575" s="311"/>
      <c r="G1575" s="307" t="str">
        <f t="shared" si="298"/>
        <v>-</v>
      </c>
      <c r="H1575" s="351">
        <f t="shared" si="299"/>
        <v>0</v>
      </c>
      <c r="I1575" s="537" t="str">
        <f t="shared" si="300"/>
        <v>-</v>
      </c>
      <c r="J1575" s="538">
        <f t="shared" si="301"/>
        <v>0</v>
      </c>
      <c r="K1575" s="539" t="s">
        <v>2299</v>
      </c>
      <c r="L1575" s="20"/>
    </row>
    <row r="1576" spans="1:13">
      <c r="A1576" s="14" t="s">
        <v>31</v>
      </c>
      <c r="D1576" s="18">
        <v>7</v>
      </c>
      <c r="E1576" s="26" t="str">
        <f t="shared" si="297"/>
        <v>-</v>
      </c>
      <c r="F1576" s="311"/>
      <c r="G1576" s="307" t="str">
        <f t="shared" si="298"/>
        <v>-</v>
      </c>
      <c r="H1576" s="351">
        <f t="shared" si="299"/>
        <v>0</v>
      </c>
      <c r="I1576" s="537" t="str">
        <f t="shared" si="300"/>
        <v>-</v>
      </c>
      <c r="J1576" s="538">
        <f t="shared" si="301"/>
        <v>0</v>
      </c>
      <c r="K1576" s="539" t="s">
        <v>2299</v>
      </c>
      <c r="L1576" s="20"/>
    </row>
    <row r="1577" spans="1:13">
      <c r="A1577" s="14" t="s">
        <v>31</v>
      </c>
      <c r="D1577" s="18">
        <v>8</v>
      </c>
      <c r="E1577" s="26" t="str">
        <f t="shared" si="297"/>
        <v>-</v>
      </c>
      <c r="F1577" s="311"/>
      <c r="G1577" s="307" t="str">
        <f t="shared" si="298"/>
        <v>-</v>
      </c>
      <c r="H1577" s="351">
        <f t="shared" si="299"/>
        <v>0</v>
      </c>
      <c r="I1577" s="537" t="str">
        <f t="shared" si="300"/>
        <v>-</v>
      </c>
      <c r="J1577" s="538">
        <f t="shared" si="301"/>
        <v>0</v>
      </c>
      <c r="K1577" s="539" t="s">
        <v>2299</v>
      </c>
      <c r="L1577" s="20"/>
    </row>
    <row r="1578" spans="1:13">
      <c r="A1578" s="14" t="s">
        <v>31</v>
      </c>
      <c r="D1578" s="18">
        <v>9</v>
      </c>
      <c r="E1578" s="26" t="str">
        <f t="shared" si="297"/>
        <v>-</v>
      </c>
      <c r="F1578" s="311"/>
      <c r="G1578" s="307" t="str">
        <f t="shared" si="298"/>
        <v>-</v>
      </c>
      <c r="H1578" s="351">
        <f t="shared" si="299"/>
        <v>0</v>
      </c>
      <c r="I1578" s="537" t="str">
        <f t="shared" si="300"/>
        <v>-</v>
      </c>
      <c r="J1578" s="538">
        <f t="shared" si="301"/>
        <v>0</v>
      </c>
      <c r="K1578" s="539" t="s">
        <v>2299</v>
      </c>
      <c r="L1578" s="20"/>
    </row>
    <row r="1579" spans="1:13">
      <c r="A1579" s="14" t="s">
        <v>31</v>
      </c>
      <c r="D1579" s="18">
        <v>10</v>
      </c>
      <c r="E1579" s="26" t="str">
        <f t="shared" si="297"/>
        <v>-</v>
      </c>
      <c r="F1579" s="311"/>
      <c r="G1579" s="307" t="str">
        <f t="shared" si="298"/>
        <v>-</v>
      </c>
      <c r="H1579" s="351">
        <f t="shared" si="299"/>
        <v>0</v>
      </c>
      <c r="I1579" s="537" t="str">
        <f t="shared" si="300"/>
        <v>-</v>
      </c>
      <c r="J1579" s="538">
        <f t="shared" si="301"/>
        <v>0</v>
      </c>
      <c r="K1579" s="539" t="s">
        <v>2299</v>
      </c>
      <c r="L1579" s="20"/>
    </row>
    <row r="1580" spans="1:13">
      <c r="A1580" s="14" t="s">
        <v>31</v>
      </c>
      <c r="D1580" s="18">
        <v>11</v>
      </c>
      <c r="E1580" s="26" t="str">
        <f t="shared" si="297"/>
        <v>-</v>
      </c>
      <c r="F1580" s="311"/>
      <c r="G1580" s="307" t="str">
        <f t="shared" si="298"/>
        <v>-</v>
      </c>
      <c r="H1580" s="351">
        <f t="shared" si="299"/>
        <v>0</v>
      </c>
      <c r="I1580" s="537" t="str">
        <f t="shared" si="300"/>
        <v>-</v>
      </c>
      <c r="J1580" s="538">
        <f t="shared" si="301"/>
        <v>0</v>
      </c>
      <c r="K1580" s="539" t="s">
        <v>2299</v>
      </c>
      <c r="L1580" s="20"/>
    </row>
    <row r="1581" spans="1:13">
      <c r="A1581" s="14" t="s">
        <v>31</v>
      </c>
      <c r="D1581" s="18">
        <v>12</v>
      </c>
      <c r="E1581" s="26" t="str">
        <f t="shared" si="297"/>
        <v>-</v>
      </c>
      <c r="F1581" s="311"/>
      <c r="G1581" s="307" t="str">
        <f t="shared" si="298"/>
        <v>-</v>
      </c>
      <c r="H1581" s="352">
        <f t="shared" si="299"/>
        <v>0</v>
      </c>
      <c r="I1581" s="537" t="str">
        <f t="shared" si="300"/>
        <v>-</v>
      </c>
      <c r="J1581" s="538">
        <f t="shared" si="301"/>
        <v>0</v>
      </c>
      <c r="K1581" s="539" t="s">
        <v>2299</v>
      </c>
      <c r="L1581" s="20"/>
    </row>
    <row r="1582" spans="1:13">
      <c r="A1582" s="14" t="s">
        <v>31</v>
      </c>
      <c r="D1582" s="18">
        <v>13</v>
      </c>
      <c r="E1582" s="26" t="str">
        <f t="shared" si="297"/>
        <v>-</v>
      </c>
      <c r="F1582" s="311"/>
      <c r="G1582" s="307" t="str">
        <f t="shared" si="298"/>
        <v>-</v>
      </c>
      <c r="H1582" s="352">
        <f t="shared" si="299"/>
        <v>0</v>
      </c>
      <c r="I1582" s="537" t="str">
        <f t="shared" si="300"/>
        <v>-</v>
      </c>
      <c r="J1582" s="538">
        <f t="shared" si="301"/>
        <v>0</v>
      </c>
      <c r="K1582" s="539" t="s">
        <v>2299</v>
      </c>
      <c r="L1582" s="20"/>
    </row>
    <row r="1583" spans="1:13">
      <c r="A1583" s="14" t="s">
        <v>31</v>
      </c>
      <c r="D1583" s="18">
        <v>14</v>
      </c>
      <c r="E1583" s="26" t="str">
        <f t="shared" si="297"/>
        <v>-</v>
      </c>
      <c r="F1583" s="311"/>
      <c r="G1583" s="307" t="str">
        <f t="shared" si="298"/>
        <v>-</v>
      </c>
      <c r="H1583" s="352">
        <f t="shared" si="299"/>
        <v>0</v>
      </c>
      <c r="I1583" s="537" t="str">
        <f t="shared" si="300"/>
        <v>-</v>
      </c>
      <c r="J1583" s="538">
        <f t="shared" si="301"/>
        <v>0</v>
      </c>
      <c r="K1583" s="539" t="s">
        <v>2299</v>
      </c>
      <c r="L1583" s="20"/>
    </row>
    <row r="1584" spans="1:13">
      <c r="A1584" s="14" t="s">
        <v>31</v>
      </c>
      <c r="D1584" s="18">
        <v>15</v>
      </c>
      <c r="E1584" s="26" t="str">
        <f t="shared" si="297"/>
        <v>-</v>
      </c>
      <c r="F1584" s="311"/>
      <c r="G1584" s="307" t="str">
        <f t="shared" si="298"/>
        <v>-</v>
      </c>
      <c r="H1584" s="352">
        <f t="shared" si="299"/>
        <v>0</v>
      </c>
      <c r="I1584" s="537" t="str">
        <f t="shared" si="300"/>
        <v>-</v>
      </c>
      <c r="J1584" s="538">
        <f t="shared" si="301"/>
        <v>0</v>
      </c>
      <c r="K1584" s="539" t="s">
        <v>2299</v>
      </c>
      <c r="L1584" s="20"/>
    </row>
    <row r="1585" spans="1:19">
      <c r="A1585" s="14" t="s">
        <v>31</v>
      </c>
      <c r="D1585" s="18">
        <v>16</v>
      </c>
      <c r="E1585" s="26" t="str">
        <f t="shared" si="297"/>
        <v>-</v>
      </c>
      <c r="F1585" s="311"/>
      <c r="G1585" s="307" t="str">
        <f t="shared" si="298"/>
        <v>-</v>
      </c>
      <c r="H1585" s="352">
        <f t="shared" si="299"/>
        <v>0</v>
      </c>
      <c r="I1585" s="537" t="str">
        <f t="shared" si="300"/>
        <v>-</v>
      </c>
      <c r="J1585" s="538">
        <f t="shared" si="301"/>
        <v>0</v>
      </c>
      <c r="K1585" s="539" t="s">
        <v>2299</v>
      </c>
      <c r="L1585" s="20"/>
    </row>
    <row r="1586" spans="1:19">
      <c r="A1586" s="14" t="s">
        <v>31</v>
      </c>
      <c r="D1586" s="18">
        <v>17</v>
      </c>
      <c r="E1586" s="26" t="str">
        <f t="shared" si="297"/>
        <v>-</v>
      </c>
      <c r="F1586" s="311"/>
      <c r="G1586" s="307" t="str">
        <f t="shared" si="298"/>
        <v>-</v>
      </c>
      <c r="H1586" s="352">
        <f t="shared" si="299"/>
        <v>0</v>
      </c>
      <c r="I1586" s="537" t="str">
        <f t="shared" si="300"/>
        <v>-</v>
      </c>
      <c r="J1586" s="538">
        <f t="shared" si="301"/>
        <v>0</v>
      </c>
      <c r="K1586" s="539" t="s">
        <v>2299</v>
      </c>
      <c r="L1586" s="20"/>
    </row>
    <row r="1587" spans="1:19">
      <c r="A1587" s="14" t="s">
        <v>31</v>
      </c>
      <c r="D1587" s="18">
        <v>18</v>
      </c>
      <c r="E1587" s="26" t="str">
        <f t="shared" si="297"/>
        <v>-</v>
      </c>
      <c r="F1587" s="311"/>
      <c r="G1587" s="307" t="str">
        <f t="shared" si="298"/>
        <v>-</v>
      </c>
      <c r="H1587" s="352">
        <f t="shared" si="299"/>
        <v>0</v>
      </c>
      <c r="I1587" s="537" t="str">
        <f t="shared" si="300"/>
        <v>-</v>
      </c>
      <c r="J1587" s="538">
        <f t="shared" si="301"/>
        <v>0</v>
      </c>
      <c r="K1587" s="539" t="s">
        <v>2299</v>
      </c>
      <c r="L1587" s="20"/>
    </row>
    <row r="1588" spans="1:19">
      <c r="A1588" s="14" t="s">
        <v>31</v>
      </c>
      <c r="D1588" s="18">
        <v>19</v>
      </c>
      <c r="E1588" s="26" t="str">
        <f t="shared" si="297"/>
        <v>-</v>
      </c>
      <c r="F1588" s="311"/>
      <c r="G1588" s="307" t="str">
        <f t="shared" si="298"/>
        <v>-</v>
      </c>
      <c r="H1588" s="352">
        <f t="shared" si="299"/>
        <v>0</v>
      </c>
      <c r="I1588" s="537" t="str">
        <f t="shared" si="300"/>
        <v>-</v>
      </c>
      <c r="J1588" s="538">
        <f t="shared" si="301"/>
        <v>0</v>
      </c>
      <c r="K1588" s="539" t="s">
        <v>2299</v>
      </c>
      <c r="L1588" s="20"/>
    </row>
    <row r="1589" spans="1:19">
      <c r="A1589" s="14" t="s">
        <v>31</v>
      </c>
      <c r="D1589" s="18">
        <v>20</v>
      </c>
      <c r="E1589" s="26" t="str">
        <f t="shared" si="297"/>
        <v>-</v>
      </c>
      <c r="F1589" s="311"/>
      <c r="G1589" s="307" t="str">
        <f t="shared" si="298"/>
        <v>-</v>
      </c>
      <c r="H1589" s="352">
        <f t="shared" si="299"/>
        <v>0</v>
      </c>
      <c r="I1589" s="537" t="str">
        <f t="shared" si="300"/>
        <v>-</v>
      </c>
      <c r="J1589" s="541">
        <f t="shared" si="301"/>
        <v>0</v>
      </c>
      <c r="K1589" s="539" t="s">
        <v>2299</v>
      </c>
      <c r="L1589" s="20"/>
    </row>
    <row r="1590" spans="1:19">
      <c r="A1590" s="14">
        <f>A1557+1</f>
        <v>34</v>
      </c>
      <c r="B1590" s="14" t="str">
        <f>"MA" &amp; TEXT(A1590,"##000")</f>
        <v>MA034</v>
      </c>
      <c r="D1590" s="18"/>
      <c r="E1590" s="591" t="s">
        <v>2302</v>
      </c>
      <c r="F1590" s="592"/>
      <c r="G1590" s="592"/>
      <c r="H1590" s="592"/>
      <c r="I1590" s="327"/>
      <c r="J1590" s="353">
        <f>SUM(J1570:J1589)</f>
        <v>155.93029999999999</v>
      </c>
      <c r="K1590" s="365" t="str">
        <f>+F1567</f>
        <v>m2</v>
      </c>
      <c r="L1590" s="20"/>
      <c r="O1590" s="27" t="s">
        <v>1525</v>
      </c>
      <c r="P1590" s="110">
        <v>60</v>
      </c>
    </row>
    <row r="1591" spans="1:19">
      <c r="D1591" s="18"/>
      <c r="E1591" s="593" t="s">
        <v>100</v>
      </c>
      <c r="F1591" s="594"/>
      <c r="G1591" s="594"/>
      <c r="H1591" s="594"/>
      <c r="I1591" s="594"/>
      <c r="J1591" s="595"/>
      <c r="K1591" s="347"/>
      <c r="L1591" s="20"/>
      <c r="O1591" s="27" t="s">
        <v>1524</v>
      </c>
      <c r="P1591" s="110">
        <v>0</v>
      </c>
    </row>
    <row r="1592" spans="1:19">
      <c r="A1592" s="14" t="s">
        <v>84</v>
      </c>
      <c r="D1592" s="18">
        <v>1</v>
      </c>
      <c r="E1592" s="26" t="str">
        <f>VLOOKUP($A1592,MATMO,2,FALSE)</f>
        <v>Oficial</v>
      </c>
      <c r="F1592" s="311">
        <v>0.8</v>
      </c>
      <c r="G1592" s="307" t="str">
        <f>VLOOKUP($A1592,MATMO,3,FALSE)</f>
        <v>hs</v>
      </c>
      <c r="H1592" s="110">
        <f>VLOOKUP($A1592,MATMO,4,FALSE)*$Q$7</f>
        <v>55.38</v>
      </c>
      <c r="I1592" s="354" t="str">
        <f t="shared" ref="I1592:I1596" si="302">+G1592</f>
        <v>hs</v>
      </c>
      <c r="J1592" s="350">
        <f t="shared" ref="J1592:J1596" si="303">+H1592*F1592</f>
        <v>44.304000000000002</v>
      </c>
      <c r="K1592" s="360" t="s">
        <v>2299</v>
      </c>
      <c r="L1592" s="20"/>
      <c r="M1592" s="14" t="s">
        <v>2006</v>
      </c>
      <c r="O1592" s="27" t="s">
        <v>1526</v>
      </c>
      <c r="P1592" s="110">
        <v>0</v>
      </c>
    </row>
    <row r="1593" spans="1:19">
      <c r="A1593" s="14" t="s">
        <v>85</v>
      </c>
      <c r="D1593" s="18">
        <v>2</v>
      </c>
      <c r="E1593" s="26" t="str">
        <f>VLOOKUP($A1593,MATMO,2,FALSE)</f>
        <v>Ayudante</v>
      </c>
      <c r="F1593" s="311">
        <v>0.3</v>
      </c>
      <c r="G1593" s="307" t="str">
        <f>VLOOKUP($A1593,MATMO,3,FALSE)</f>
        <v>hs</v>
      </c>
      <c r="H1593" s="110">
        <f>VLOOKUP($A1593,MATMO,4,FALSE)*$Q$7</f>
        <v>46.87</v>
      </c>
      <c r="I1593" s="354" t="str">
        <f t="shared" si="302"/>
        <v>hs</v>
      </c>
      <c r="J1593" s="350">
        <f t="shared" si="303"/>
        <v>14.060999999999998</v>
      </c>
      <c r="K1593" s="360" t="s">
        <v>2299</v>
      </c>
      <c r="L1593" s="20"/>
      <c r="O1593" s="27" t="s">
        <v>1527</v>
      </c>
      <c r="P1593" s="110">
        <v>0</v>
      </c>
    </row>
    <row r="1594" spans="1:19">
      <c r="A1594" s="14" t="s">
        <v>2311</v>
      </c>
      <c r="D1594" s="18">
        <v>3</v>
      </c>
      <c r="E1594" s="26" t="str">
        <f>VLOOKUP($A1594,MATMO,2,FALSE)</f>
        <v>Cargas Sociales Oficial</v>
      </c>
      <c r="F1594" s="311">
        <f>+F1592</f>
        <v>0.8</v>
      </c>
      <c r="G1594" s="307" t="str">
        <f>VLOOKUP($A1594,MATMO,3,FALSE)</f>
        <v>hs</v>
      </c>
      <c r="H1594" s="110">
        <f>VLOOKUP($A1594,MATMO,4,FALSE)*$Q$7</f>
        <v>52.742782499999997</v>
      </c>
      <c r="I1594" s="354" t="str">
        <f t="shared" si="302"/>
        <v>hs</v>
      </c>
      <c r="J1594" s="350">
        <f t="shared" si="303"/>
        <v>42.194226</v>
      </c>
      <c r="K1594" s="360" t="s">
        <v>2299</v>
      </c>
      <c r="L1594" s="20"/>
      <c r="O1594" s="27"/>
      <c r="P1594" s="110">
        <v>0</v>
      </c>
    </row>
    <row r="1595" spans="1:19">
      <c r="A1595" s="14" t="s">
        <v>2312</v>
      </c>
      <c r="D1595" s="18">
        <v>4</v>
      </c>
      <c r="E1595" s="26" t="str">
        <f>VLOOKUP($A1595,MATMO,2,FALSE)</f>
        <v>Cargas Sociales Ayudante</v>
      </c>
      <c r="F1595" s="311">
        <f>+F1593</f>
        <v>0.3</v>
      </c>
      <c r="G1595" s="307" t="str">
        <f>VLOOKUP($A1595,MATMO,3,FALSE)</f>
        <v>hs</v>
      </c>
      <c r="H1595" s="110">
        <f>VLOOKUP($A1595,MATMO,4,FALSE)*$Q$7</f>
        <v>45.108248750000001</v>
      </c>
      <c r="I1595" s="354" t="str">
        <f t="shared" si="302"/>
        <v>hs</v>
      </c>
      <c r="J1595" s="350">
        <f t="shared" si="303"/>
        <v>13.532474625000001</v>
      </c>
      <c r="K1595" s="360" t="s">
        <v>2299</v>
      </c>
      <c r="L1595" s="20"/>
      <c r="O1595" s="27"/>
      <c r="P1595" s="110">
        <v>0</v>
      </c>
    </row>
    <row r="1596" spans="1:19" ht="16.5" thickBot="1">
      <c r="A1596" s="14" t="s">
        <v>83</v>
      </c>
      <c r="D1596" s="18">
        <v>5</v>
      </c>
      <c r="E1596" s="26" t="str">
        <f>VLOOKUP($A1596,MATMO,2,FALSE)</f>
        <v>-</v>
      </c>
      <c r="F1596" s="311"/>
      <c r="G1596" s="307" t="str">
        <f>VLOOKUP($A1596,MATMO,3,FALSE)</f>
        <v>-</v>
      </c>
      <c r="H1596" s="110">
        <f>VLOOKUP($A1596,MATMO,4,FALSE)*$Q$7</f>
        <v>0</v>
      </c>
      <c r="I1596" s="537" t="str">
        <f t="shared" si="302"/>
        <v>-</v>
      </c>
      <c r="J1596" s="538">
        <f t="shared" si="303"/>
        <v>0</v>
      </c>
      <c r="K1596" s="539" t="s">
        <v>2299</v>
      </c>
      <c r="L1596" s="20"/>
      <c r="O1596" s="27"/>
      <c r="P1596" s="110">
        <v>0</v>
      </c>
      <c r="R1596" s="29" t="s">
        <v>2307</v>
      </c>
    </row>
    <row r="1597" spans="1:19" ht="16.5" thickBot="1">
      <c r="A1597" s="14">
        <f>A1557+1</f>
        <v>34</v>
      </c>
      <c r="B1597" s="14" t="str">
        <f>"MO" &amp; TEXT(A1597,"##000")</f>
        <v>MO034</v>
      </c>
      <c r="D1597" s="18"/>
      <c r="E1597" s="591" t="s">
        <v>2301</v>
      </c>
      <c r="F1597" s="592"/>
      <c r="G1597" s="592"/>
      <c r="H1597" s="592"/>
      <c r="I1597" s="327"/>
      <c r="J1597" s="362">
        <f>SUM(J1592:J1596)</f>
        <v>114.091700625</v>
      </c>
      <c r="K1597" s="365" t="str">
        <f>+G1592</f>
        <v>hs</v>
      </c>
      <c r="L1597" s="20"/>
      <c r="N1597" s="111">
        <f>+P1597+R1597</f>
        <v>114</v>
      </c>
      <c r="O1597" s="27"/>
      <c r="P1597" s="27">
        <f>SUM(P1590:P1596)</f>
        <v>60</v>
      </c>
      <c r="Q1597" s="26">
        <v>0.9</v>
      </c>
      <c r="R1597" s="287">
        <f>+Q1597*P1597</f>
        <v>54</v>
      </c>
      <c r="S1597" s="288"/>
    </row>
    <row r="1598" spans="1:19">
      <c r="D1598" s="18"/>
      <c r="E1598" s="593" t="s">
        <v>101</v>
      </c>
      <c r="F1598" s="594"/>
      <c r="G1598" s="594"/>
      <c r="H1598" s="594"/>
      <c r="I1598" s="594"/>
      <c r="J1598" s="595"/>
      <c r="K1598" s="347"/>
      <c r="L1598" s="20"/>
      <c r="P1598" s="14" t="s">
        <v>2308</v>
      </c>
    </row>
    <row r="1599" spans="1:19">
      <c r="A1599" s="14" t="s">
        <v>119</v>
      </c>
      <c r="D1599" s="18">
        <v>1</v>
      </c>
      <c r="E1599" s="26" t="str">
        <f>VLOOKUP($A1599,MATMO,2,FALSE)</f>
        <v>Herramientas de Mano</v>
      </c>
      <c r="F1599" s="311">
        <v>1</v>
      </c>
      <c r="G1599" s="307" t="str">
        <f>VLOOKUP($A1599,MATMO,3,FALSE)</f>
        <v>gl</v>
      </c>
      <c r="H1599" s="110">
        <f>+(J1590+J1597)*$Q$5</f>
        <v>10.800880025</v>
      </c>
      <c r="I1599" s="345" t="str">
        <f>+G1599</f>
        <v>gl</v>
      </c>
      <c r="J1599" s="350">
        <f t="shared" ref="J1599:J1603" si="304">+H1599*F1599</f>
        <v>10.800880025</v>
      </c>
      <c r="K1599" s="360" t="s">
        <v>2299</v>
      </c>
      <c r="L1599" s="20"/>
      <c r="M1599" s="14" t="s">
        <v>2004</v>
      </c>
    </row>
    <row r="1600" spans="1:19">
      <c r="A1600" s="14" t="s">
        <v>118</v>
      </c>
      <c r="D1600" s="18">
        <v>2</v>
      </c>
      <c r="E1600" s="26" t="str">
        <f>VLOOKUP($A1600,MATMO,2,FALSE)</f>
        <v>-</v>
      </c>
      <c r="F1600" s="311"/>
      <c r="G1600" s="307" t="str">
        <f>VLOOKUP($A1600,MATMO,3,FALSE)</f>
        <v>-</v>
      </c>
      <c r="H1600" s="110">
        <f>VLOOKUP($A1600,MATMO,4,FALSE)*$Q$6</f>
        <v>0</v>
      </c>
      <c r="I1600" s="543" t="str">
        <f t="shared" ref="I1600:I1603" si="305">+G1600</f>
        <v>-</v>
      </c>
      <c r="J1600" s="538">
        <f t="shared" si="304"/>
        <v>0</v>
      </c>
      <c r="K1600" s="539" t="s">
        <v>2299</v>
      </c>
      <c r="L1600" s="20"/>
    </row>
    <row r="1601" spans="1:12">
      <c r="A1601" s="14" t="s">
        <v>118</v>
      </c>
      <c r="D1601" s="18">
        <v>3</v>
      </c>
      <c r="E1601" s="26" t="str">
        <f>VLOOKUP($A1601,MATMO,2,FALSE)</f>
        <v>-</v>
      </c>
      <c r="F1601" s="311"/>
      <c r="G1601" s="307" t="str">
        <f>VLOOKUP($A1601,MATMO,3,FALSE)</f>
        <v>-</v>
      </c>
      <c r="H1601" s="110">
        <f>VLOOKUP($A1601,MATMO,4,FALSE)*$Q$6</f>
        <v>0</v>
      </c>
      <c r="I1601" s="543" t="str">
        <f t="shared" si="305"/>
        <v>-</v>
      </c>
      <c r="J1601" s="538">
        <f t="shared" si="304"/>
        <v>0</v>
      </c>
      <c r="K1601" s="539" t="s">
        <v>2299</v>
      </c>
      <c r="L1601" s="20"/>
    </row>
    <row r="1602" spans="1:12">
      <c r="A1602" s="14" t="s">
        <v>118</v>
      </c>
      <c r="D1602" s="18">
        <v>4</v>
      </c>
      <c r="E1602" s="26" t="str">
        <f>VLOOKUP($A1602,MATMO,2,FALSE)</f>
        <v>-</v>
      </c>
      <c r="F1602" s="311"/>
      <c r="G1602" s="307" t="str">
        <f>VLOOKUP($A1602,MATMO,3,FALSE)</f>
        <v>-</v>
      </c>
      <c r="H1602" s="110">
        <f>VLOOKUP($A1602,MATMO,4,FALSE)*$Q$6</f>
        <v>0</v>
      </c>
      <c r="I1602" s="543" t="str">
        <f t="shared" si="305"/>
        <v>-</v>
      </c>
      <c r="J1602" s="538">
        <f t="shared" si="304"/>
        <v>0</v>
      </c>
      <c r="K1602" s="539" t="s">
        <v>2299</v>
      </c>
      <c r="L1602" s="20"/>
    </row>
    <row r="1603" spans="1:12">
      <c r="A1603" s="14" t="s">
        <v>118</v>
      </c>
      <c r="D1603" s="18">
        <v>5</v>
      </c>
      <c r="E1603" s="26" t="str">
        <f>VLOOKUP($A1603,MATMO,2,FALSE)</f>
        <v>-</v>
      </c>
      <c r="F1603" s="311"/>
      <c r="G1603" s="307" t="str">
        <f>VLOOKUP($A1603,MATMO,3,FALSE)</f>
        <v>-</v>
      </c>
      <c r="H1603" s="110">
        <f>VLOOKUP($A1603,MATMO,4,FALSE)*$Q$6</f>
        <v>0</v>
      </c>
      <c r="I1603" s="543" t="str">
        <f t="shared" si="305"/>
        <v>-</v>
      </c>
      <c r="J1603" s="538">
        <f t="shared" si="304"/>
        <v>0</v>
      </c>
      <c r="K1603" s="539" t="s">
        <v>2299</v>
      </c>
      <c r="L1603" s="20"/>
    </row>
    <row r="1604" spans="1:12">
      <c r="A1604" s="14">
        <f>A1557+1</f>
        <v>34</v>
      </c>
      <c r="B1604" s="14" t="str">
        <f>"E" &amp; TEXT(A1604,"##000")</f>
        <v>E034</v>
      </c>
      <c r="D1604" s="18"/>
      <c r="E1604" s="591" t="s">
        <v>2300</v>
      </c>
      <c r="F1604" s="592"/>
      <c r="G1604" s="592"/>
      <c r="H1604" s="592"/>
      <c r="I1604" s="327"/>
      <c r="J1604" s="362">
        <f>SUM(J1599:J1603)</f>
        <v>10.800880025</v>
      </c>
      <c r="K1604" s="365" t="s">
        <v>116</v>
      </c>
      <c r="L1604" s="20"/>
    </row>
    <row r="1605" spans="1:12">
      <c r="D1605" s="18"/>
      <c r="E1605" s="596"/>
      <c r="F1605" s="597"/>
      <c r="G1605" s="597"/>
      <c r="H1605" s="597"/>
      <c r="I1605" s="597"/>
      <c r="J1605" s="598"/>
      <c r="K1605" s="348"/>
      <c r="L1605" s="20"/>
    </row>
    <row r="1606" spans="1:12">
      <c r="D1606" s="18"/>
      <c r="E1606" s="591" t="s">
        <v>2306</v>
      </c>
      <c r="F1606" s="592"/>
      <c r="G1606" s="592"/>
      <c r="H1606" s="592"/>
      <c r="I1606" s="327"/>
      <c r="J1606" s="308">
        <f>+J1604+J1597+J1590</f>
        <v>280.82288065</v>
      </c>
      <c r="K1606" s="365" t="str">
        <f>+F1567</f>
        <v>m2</v>
      </c>
      <c r="L1606" s="20"/>
    </row>
    <row r="1607" spans="1:12">
      <c r="D1607" s="18"/>
      <c r="E1607" s="591" t="s">
        <v>2305</v>
      </c>
      <c r="F1607" s="592"/>
      <c r="G1607" s="592"/>
      <c r="H1607" s="592"/>
      <c r="I1607" s="406">
        <f>+$Q$9</f>
        <v>1.6902999999999999</v>
      </c>
      <c r="J1607" s="308">
        <f>+$Q$9*J1606</f>
        <v>474.67491516269496</v>
      </c>
      <c r="K1607" s="365" t="str">
        <f>+F1567</f>
        <v>m2</v>
      </c>
      <c r="L1607" s="20"/>
    </row>
    <row r="1608" spans="1:12">
      <c r="A1608" s="14">
        <f>A1561+1</f>
        <v>34</v>
      </c>
      <c r="B1608" s="14" t="str">
        <f>"TR" &amp; TEXT(A1608,"##000")</f>
        <v>TR034</v>
      </c>
      <c r="C1608" s="14">
        <f>+C1561+1</f>
        <v>34</v>
      </c>
      <c r="D1608" s="18"/>
      <c r="E1608" s="591" t="s">
        <v>2304</v>
      </c>
      <c r="F1608" s="592"/>
      <c r="G1608" s="592"/>
      <c r="H1608" s="592"/>
      <c r="I1608" s="327"/>
      <c r="J1608" s="308">
        <f>+J1607</f>
        <v>474.67491516269496</v>
      </c>
      <c r="K1608" s="365" t="str">
        <f>+F1567</f>
        <v>m2</v>
      </c>
      <c r="L1608" s="20"/>
    </row>
    <row r="1609" spans="1:12" ht="16.5" thickBot="1">
      <c r="D1609" s="21"/>
      <c r="E1609" s="30"/>
      <c r="F1609" s="30"/>
      <c r="G1609" s="30"/>
      <c r="H1609" s="30"/>
      <c r="I1609" s="30"/>
      <c r="J1609" s="30"/>
      <c r="K1609" s="349"/>
      <c r="L1609" s="22"/>
    </row>
    <row r="1610" spans="1:12" ht="16.5" thickTop="1">
      <c r="D1610" s="15"/>
      <c r="E1610" s="16"/>
      <c r="F1610" s="16"/>
      <c r="G1610" s="16"/>
      <c r="H1610" s="16"/>
      <c r="I1610" s="16"/>
      <c r="J1610" s="16"/>
      <c r="K1610" s="16"/>
      <c r="L1610" s="17"/>
    </row>
    <row r="1611" spans="1:12">
      <c r="A1611" s="14" t="s">
        <v>1856</v>
      </c>
      <c r="D1611" s="18"/>
      <c r="E1611" s="23" t="s">
        <v>95</v>
      </c>
      <c r="F1611" s="24" t="str">
        <f>VLOOKUP($A1611,DATRUB,3,FALSE)</f>
        <v>RUBRO IX:</v>
      </c>
      <c r="G1611" s="599" t="str">
        <f>VLOOKUP($A1611,DATRUB,4,FALSE)</f>
        <v>MESADAS, MARMOLERÍA</v>
      </c>
      <c r="H1611" s="599"/>
      <c r="I1611" s="599"/>
      <c r="J1611" s="599"/>
      <c r="K1611" s="599"/>
      <c r="L1611" s="20"/>
    </row>
    <row r="1612" spans="1:12" ht="35.1" customHeight="1">
      <c r="A1612" s="14" t="s">
        <v>1857</v>
      </c>
      <c r="D1612" s="18"/>
      <c r="E1612" s="23" t="s">
        <v>96</v>
      </c>
      <c r="F1612" s="399">
        <f>VLOOKUP($A1612,DATRUB,3,FALSE)</f>
        <v>9.1</v>
      </c>
      <c r="G1612" s="599" t="str">
        <f>VLOOKUP($A1612,DATRUB,4,FALSE)</f>
        <v>Mesadas Baños (2,20 x 0,60)</v>
      </c>
      <c r="H1612" s="599"/>
      <c r="I1612" s="599"/>
      <c r="J1612" s="599"/>
      <c r="K1612" s="599"/>
      <c r="L1612" s="20"/>
    </row>
    <row r="1613" spans="1:12" ht="35.1" customHeight="1">
      <c r="A1613" s="14" t="s">
        <v>1857</v>
      </c>
      <c r="D1613" s="18"/>
      <c r="E1613" s="23" t="s">
        <v>97</v>
      </c>
      <c r="F1613" s="399">
        <f>VLOOKUP($A1613,DATRUB,3,FALSE)</f>
        <v>9.1</v>
      </c>
      <c r="G1613" s="599" t="str">
        <f>VLOOKUP($A1613,DATRUB,4,FALSE)</f>
        <v>Mesadas Baños (2,20 x 0,60)</v>
      </c>
      <c r="H1613" s="599"/>
      <c r="I1613" s="599"/>
      <c r="J1613" s="599"/>
      <c r="K1613" s="599"/>
      <c r="L1613" s="20"/>
    </row>
    <row r="1614" spans="1:12">
      <c r="D1614" s="18"/>
      <c r="E1614" s="23" t="s">
        <v>98</v>
      </c>
      <c r="F1614" s="24" t="str">
        <f>VLOOKUP($A1613,DATRUB,5,FALSE)</f>
        <v>m2</v>
      </c>
      <c r="G1614" s="600"/>
      <c r="H1614" s="600"/>
      <c r="I1614" s="600"/>
      <c r="J1614" s="600"/>
      <c r="K1614" s="600"/>
      <c r="L1614" s="20"/>
    </row>
    <row r="1615" spans="1:12">
      <c r="D1615" s="18"/>
      <c r="E1615" s="24" t="s">
        <v>1158</v>
      </c>
      <c r="F1615" s="25" t="s">
        <v>1250</v>
      </c>
      <c r="G1615" s="24" t="s">
        <v>24</v>
      </c>
      <c r="H1615" s="24" t="s">
        <v>25</v>
      </c>
      <c r="I1615" s="24" t="s">
        <v>24</v>
      </c>
      <c r="J1615" s="24" t="s">
        <v>2298</v>
      </c>
      <c r="K1615" s="24" t="s">
        <v>24</v>
      </c>
      <c r="L1615" s="20"/>
    </row>
    <row r="1616" spans="1:12">
      <c r="D1616" s="18"/>
      <c r="E1616" s="593" t="s">
        <v>99</v>
      </c>
      <c r="F1616" s="594"/>
      <c r="G1616" s="594"/>
      <c r="H1616" s="594"/>
      <c r="I1616" s="594"/>
      <c r="J1616" s="594"/>
      <c r="K1616" s="595"/>
      <c r="L1616" s="20"/>
    </row>
    <row r="1617" spans="1:13">
      <c r="A1617" s="14" t="s">
        <v>2475</v>
      </c>
      <c r="D1617" s="18">
        <v>1</v>
      </c>
      <c r="E1617" s="355" t="str">
        <f t="shared" ref="E1617:E1636" si="306">VLOOKUP($A1617,MATMO,2,FALSE)</f>
        <v>Granito Gris Mara Pulido</v>
      </c>
      <c r="F1617" s="356">
        <v>1.4</v>
      </c>
      <c r="G1617" s="357" t="str">
        <f t="shared" ref="G1617:G1636" si="307">VLOOKUP($A1617,MATMO,3,FALSE)</f>
        <v>m²</v>
      </c>
      <c r="H1617" s="358">
        <f t="shared" ref="H1617:H1636" si="308">VLOOKUP($A1617,MATMO,4,FALSE)*$Q$6</f>
        <v>2480</v>
      </c>
      <c r="I1617" s="359" t="str">
        <f t="shared" ref="I1617:I1636" si="309">+G1617</f>
        <v>m²</v>
      </c>
      <c r="J1617" s="361">
        <f>+H1617*F1617</f>
        <v>3472</v>
      </c>
      <c r="K1617" s="360" t="s">
        <v>2299</v>
      </c>
      <c r="L1617" s="20"/>
      <c r="M1617" s="14" t="s">
        <v>2005</v>
      </c>
    </row>
    <row r="1618" spans="1:13">
      <c r="A1618" s="14" t="s">
        <v>2446</v>
      </c>
      <c r="D1618" s="18">
        <v>2</v>
      </c>
      <c r="E1618" s="26" t="str">
        <f t="shared" si="306"/>
        <v xml:space="preserve">Metales Accesorios </v>
      </c>
      <c r="F1618" s="311">
        <v>5</v>
      </c>
      <c r="G1618" s="307" t="str">
        <f t="shared" si="307"/>
        <v>gl</v>
      </c>
      <c r="H1618" s="351">
        <f t="shared" si="308"/>
        <v>10</v>
      </c>
      <c r="I1618" s="354" t="str">
        <f t="shared" si="309"/>
        <v>gl</v>
      </c>
      <c r="J1618" s="350">
        <f t="shared" ref="J1618:J1636" si="310">+H1618*F1618</f>
        <v>50</v>
      </c>
      <c r="K1618" s="360" t="s">
        <v>2299</v>
      </c>
      <c r="L1618" s="20"/>
    </row>
    <row r="1619" spans="1:13">
      <c r="A1619" s="14" t="s">
        <v>2447</v>
      </c>
      <c r="D1619" s="18">
        <v>3</v>
      </c>
      <c r="E1619" s="26" t="str">
        <f t="shared" si="306"/>
        <v>Accesorios</v>
      </c>
      <c r="F1619" s="311">
        <v>0.2</v>
      </c>
      <c r="G1619" s="307" t="str">
        <f t="shared" si="307"/>
        <v>gl</v>
      </c>
      <c r="H1619" s="351">
        <f t="shared" si="308"/>
        <v>50</v>
      </c>
      <c r="I1619" s="354" t="str">
        <f t="shared" si="309"/>
        <v>gl</v>
      </c>
      <c r="J1619" s="350">
        <f t="shared" si="310"/>
        <v>10</v>
      </c>
      <c r="K1619" s="360" t="s">
        <v>2299</v>
      </c>
      <c r="L1619" s="20"/>
    </row>
    <row r="1620" spans="1:13">
      <c r="A1620" s="14" t="s">
        <v>31</v>
      </c>
      <c r="D1620" s="18">
        <v>4</v>
      </c>
      <c r="E1620" s="26" t="str">
        <f t="shared" si="306"/>
        <v>-</v>
      </c>
      <c r="F1620" s="311"/>
      <c r="G1620" s="307" t="str">
        <f t="shared" si="307"/>
        <v>-</v>
      </c>
      <c r="H1620" s="351">
        <f t="shared" si="308"/>
        <v>0</v>
      </c>
      <c r="I1620" s="537" t="str">
        <f t="shared" si="309"/>
        <v>-</v>
      </c>
      <c r="J1620" s="538">
        <f t="shared" si="310"/>
        <v>0</v>
      </c>
      <c r="K1620" s="539" t="s">
        <v>2299</v>
      </c>
      <c r="L1620" s="20"/>
    </row>
    <row r="1621" spans="1:13">
      <c r="A1621" s="14" t="s">
        <v>31</v>
      </c>
      <c r="D1621" s="18">
        <v>5</v>
      </c>
      <c r="E1621" s="26" t="str">
        <f t="shared" si="306"/>
        <v>-</v>
      </c>
      <c r="F1621" s="311"/>
      <c r="G1621" s="307" t="str">
        <f t="shared" si="307"/>
        <v>-</v>
      </c>
      <c r="H1621" s="351">
        <f t="shared" si="308"/>
        <v>0</v>
      </c>
      <c r="I1621" s="537" t="str">
        <f t="shared" si="309"/>
        <v>-</v>
      </c>
      <c r="J1621" s="538">
        <f t="shared" si="310"/>
        <v>0</v>
      </c>
      <c r="K1621" s="539" t="s">
        <v>2299</v>
      </c>
      <c r="L1621" s="20"/>
    </row>
    <row r="1622" spans="1:13">
      <c r="A1622" s="14" t="s">
        <v>31</v>
      </c>
      <c r="D1622" s="18">
        <v>6</v>
      </c>
      <c r="E1622" s="26" t="str">
        <f t="shared" si="306"/>
        <v>-</v>
      </c>
      <c r="F1622" s="311"/>
      <c r="G1622" s="307" t="str">
        <f t="shared" si="307"/>
        <v>-</v>
      </c>
      <c r="H1622" s="351">
        <f t="shared" si="308"/>
        <v>0</v>
      </c>
      <c r="I1622" s="537" t="str">
        <f t="shared" si="309"/>
        <v>-</v>
      </c>
      <c r="J1622" s="538">
        <f t="shared" si="310"/>
        <v>0</v>
      </c>
      <c r="K1622" s="539" t="s">
        <v>2299</v>
      </c>
      <c r="L1622" s="20"/>
    </row>
    <row r="1623" spans="1:13">
      <c r="A1623" s="14" t="s">
        <v>31</v>
      </c>
      <c r="D1623" s="18">
        <v>7</v>
      </c>
      <c r="E1623" s="26" t="str">
        <f t="shared" si="306"/>
        <v>-</v>
      </c>
      <c r="F1623" s="311"/>
      <c r="G1623" s="307" t="str">
        <f t="shared" si="307"/>
        <v>-</v>
      </c>
      <c r="H1623" s="351">
        <f t="shared" si="308"/>
        <v>0</v>
      </c>
      <c r="I1623" s="537" t="str">
        <f t="shared" si="309"/>
        <v>-</v>
      </c>
      <c r="J1623" s="538">
        <f t="shared" si="310"/>
        <v>0</v>
      </c>
      <c r="K1623" s="539" t="s">
        <v>2299</v>
      </c>
      <c r="L1623" s="20"/>
    </row>
    <row r="1624" spans="1:13">
      <c r="A1624" s="14" t="s">
        <v>31</v>
      </c>
      <c r="D1624" s="18">
        <v>8</v>
      </c>
      <c r="E1624" s="26" t="str">
        <f t="shared" si="306"/>
        <v>-</v>
      </c>
      <c r="F1624" s="311"/>
      <c r="G1624" s="307" t="str">
        <f t="shared" si="307"/>
        <v>-</v>
      </c>
      <c r="H1624" s="351">
        <f t="shared" si="308"/>
        <v>0</v>
      </c>
      <c r="I1624" s="537" t="str">
        <f t="shared" si="309"/>
        <v>-</v>
      </c>
      <c r="J1624" s="538">
        <f t="shared" si="310"/>
        <v>0</v>
      </c>
      <c r="K1624" s="539" t="s">
        <v>2299</v>
      </c>
      <c r="L1624" s="20"/>
    </row>
    <row r="1625" spans="1:13">
      <c r="A1625" s="14" t="s">
        <v>31</v>
      </c>
      <c r="D1625" s="18">
        <v>9</v>
      </c>
      <c r="E1625" s="26" t="str">
        <f t="shared" si="306"/>
        <v>-</v>
      </c>
      <c r="F1625" s="311"/>
      <c r="G1625" s="307" t="str">
        <f t="shared" si="307"/>
        <v>-</v>
      </c>
      <c r="H1625" s="351">
        <f t="shared" si="308"/>
        <v>0</v>
      </c>
      <c r="I1625" s="537" t="str">
        <f t="shared" si="309"/>
        <v>-</v>
      </c>
      <c r="J1625" s="538">
        <f t="shared" si="310"/>
        <v>0</v>
      </c>
      <c r="K1625" s="539" t="s">
        <v>2299</v>
      </c>
      <c r="L1625" s="20"/>
    </row>
    <row r="1626" spans="1:13">
      <c r="A1626" s="14" t="s">
        <v>31</v>
      </c>
      <c r="D1626" s="18">
        <v>10</v>
      </c>
      <c r="E1626" s="26" t="str">
        <f t="shared" si="306"/>
        <v>-</v>
      </c>
      <c r="F1626" s="311"/>
      <c r="G1626" s="307" t="str">
        <f t="shared" si="307"/>
        <v>-</v>
      </c>
      <c r="H1626" s="351">
        <f t="shared" si="308"/>
        <v>0</v>
      </c>
      <c r="I1626" s="537" t="str">
        <f t="shared" si="309"/>
        <v>-</v>
      </c>
      <c r="J1626" s="538">
        <f t="shared" si="310"/>
        <v>0</v>
      </c>
      <c r="K1626" s="539" t="s">
        <v>2299</v>
      </c>
      <c r="L1626" s="20"/>
    </row>
    <row r="1627" spans="1:13">
      <c r="A1627" s="14" t="s">
        <v>31</v>
      </c>
      <c r="D1627" s="18">
        <v>11</v>
      </c>
      <c r="E1627" s="26" t="str">
        <f t="shared" si="306"/>
        <v>-</v>
      </c>
      <c r="F1627" s="311"/>
      <c r="G1627" s="307" t="str">
        <f t="shared" si="307"/>
        <v>-</v>
      </c>
      <c r="H1627" s="351">
        <f t="shared" si="308"/>
        <v>0</v>
      </c>
      <c r="I1627" s="537" t="str">
        <f t="shared" si="309"/>
        <v>-</v>
      </c>
      <c r="J1627" s="538">
        <f t="shared" si="310"/>
        <v>0</v>
      </c>
      <c r="K1627" s="539" t="s">
        <v>2299</v>
      </c>
      <c r="L1627" s="20"/>
    </row>
    <row r="1628" spans="1:13">
      <c r="A1628" s="14" t="s">
        <v>31</v>
      </c>
      <c r="D1628" s="18">
        <v>12</v>
      </c>
      <c r="E1628" s="26" t="str">
        <f t="shared" si="306"/>
        <v>-</v>
      </c>
      <c r="F1628" s="311"/>
      <c r="G1628" s="307" t="str">
        <f t="shared" si="307"/>
        <v>-</v>
      </c>
      <c r="H1628" s="352">
        <f t="shared" si="308"/>
        <v>0</v>
      </c>
      <c r="I1628" s="537" t="str">
        <f t="shared" si="309"/>
        <v>-</v>
      </c>
      <c r="J1628" s="538">
        <f t="shared" si="310"/>
        <v>0</v>
      </c>
      <c r="K1628" s="539" t="s">
        <v>2299</v>
      </c>
      <c r="L1628" s="20"/>
    </row>
    <row r="1629" spans="1:13">
      <c r="A1629" s="14" t="s">
        <v>31</v>
      </c>
      <c r="D1629" s="18">
        <v>13</v>
      </c>
      <c r="E1629" s="26" t="str">
        <f t="shared" si="306"/>
        <v>-</v>
      </c>
      <c r="F1629" s="311"/>
      <c r="G1629" s="307" t="str">
        <f t="shared" si="307"/>
        <v>-</v>
      </c>
      <c r="H1629" s="352">
        <f t="shared" si="308"/>
        <v>0</v>
      </c>
      <c r="I1629" s="537" t="str">
        <f t="shared" si="309"/>
        <v>-</v>
      </c>
      <c r="J1629" s="538">
        <f t="shared" si="310"/>
        <v>0</v>
      </c>
      <c r="K1629" s="539" t="s">
        <v>2299</v>
      </c>
      <c r="L1629" s="20"/>
    </row>
    <row r="1630" spans="1:13">
      <c r="A1630" s="14" t="s">
        <v>31</v>
      </c>
      <c r="D1630" s="18">
        <v>14</v>
      </c>
      <c r="E1630" s="26" t="str">
        <f t="shared" si="306"/>
        <v>-</v>
      </c>
      <c r="F1630" s="311"/>
      <c r="G1630" s="307" t="str">
        <f t="shared" si="307"/>
        <v>-</v>
      </c>
      <c r="H1630" s="352">
        <f t="shared" si="308"/>
        <v>0</v>
      </c>
      <c r="I1630" s="537" t="str">
        <f t="shared" si="309"/>
        <v>-</v>
      </c>
      <c r="J1630" s="538">
        <f t="shared" si="310"/>
        <v>0</v>
      </c>
      <c r="K1630" s="539" t="s">
        <v>2299</v>
      </c>
      <c r="L1630" s="20"/>
    </row>
    <row r="1631" spans="1:13">
      <c r="A1631" s="14" t="s">
        <v>31</v>
      </c>
      <c r="D1631" s="18">
        <v>15</v>
      </c>
      <c r="E1631" s="26" t="str">
        <f t="shared" si="306"/>
        <v>-</v>
      </c>
      <c r="F1631" s="311"/>
      <c r="G1631" s="307" t="str">
        <f t="shared" si="307"/>
        <v>-</v>
      </c>
      <c r="H1631" s="352">
        <f t="shared" si="308"/>
        <v>0</v>
      </c>
      <c r="I1631" s="537" t="str">
        <f t="shared" si="309"/>
        <v>-</v>
      </c>
      <c r="J1631" s="538">
        <f t="shared" si="310"/>
        <v>0</v>
      </c>
      <c r="K1631" s="539" t="s">
        <v>2299</v>
      </c>
      <c r="L1631" s="20"/>
    </row>
    <row r="1632" spans="1:13">
      <c r="A1632" s="14" t="s">
        <v>31</v>
      </c>
      <c r="D1632" s="18">
        <v>16</v>
      </c>
      <c r="E1632" s="26" t="str">
        <f t="shared" si="306"/>
        <v>-</v>
      </c>
      <c r="F1632" s="311"/>
      <c r="G1632" s="307" t="str">
        <f t="shared" si="307"/>
        <v>-</v>
      </c>
      <c r="H1632" s="352">
        <f t="shared" si="308"/>
        <v>0</v>
      </c>
      <c r="I1632" s="537" t="str">
        <f t="shared" si="309"/>
        <v>-</v>
      </c>
      <c r="J1632" s="538">
        <f t="shared" si="310"/>
        <v>0</v>
      </c>
      <c r="K1632" s="539" t="s">
        <v>2299</v>
      </c>
      <c r="L1632" s="20"/>
    </row>
    <row r="1633" spans="1:19">
      <c r="A1633" s="14" t="s">
        <v>31</v>
      </c>
      <c r="D1633" s="18">
        <v>17</v>
      </c>
      <c r="E1633" s="26" t="str">
        <f t="shared" si="306"/>
        <v>-</v>
      </c>
      <c r="F1633" s="311"/>
      <c r="G1633" s="307" t="str">
        <f t="shared" si="307"/>
        <v>-</v>
      </c>
      <c r="H1633" s="352">
        <f t="shared" si="308"/>
        <v>0</v>
      </c>
      <c r="I1633" s="537" t="str">
        <f t="shared" si="309"/>
        <v>-</v>
      </c>
      <c r="J1633" s="538">
        <f t="shared" si="310"/>
        <v>0</v>
      </c>
      <c r="K1633" s="539" t="s">
        <v>2299</v>
      </c>
      <c r="L1633" s="20"/>
    </row>
    <row r="1634" spans="1:19">
      <c r="A1634" s="14" t="s">
        <v>31</v>
      </c>
      <c r="D1634" s="18">
        <v>18</v>
      </c>
      <c r="E1634" s="26" t="str">
        <f t="shared" si="306"/>
        <v>-</v>
      </c>
      <c r="F1634" s="311"/>
      <c r="G1634" s="307" t="str">
        <f t="shared" si="307"/>
        <v>-</v>
      </c>
      <c r="H1634" s="352">
        <f t="shared" si="308"/>
        <v>0</v>
      </c>
      <c r="I1634" s="537" t="str">
        <f t="shared" si="309"/>
        <v>-</v>
      </c>
      <c r="J1634" s="538">
        <f t="shared" si="310"/>
        <v>0</v>
      </c>
      <c r="K1634" s="539" t="s">
        <v>2299</v>
      </c>
      <c r="L1634" s="20"/>
    </row>
    <row r="1635" spans="1:19">
      <c r="A1635" s="14" t="s">
        <v>31</v>
      </c>
      <c r="D1635" s="18">
        <v>19</v>
      </c>
      <c r="E1635" s="26" t="str">
        <f t="shared" si="306"/>
        <v>-</v>
      </c>
      <c r="F1635" s="311"/>
      <c r="G1635" s="307" t="str">
        <f t="shared" si="307"/>
        <v>-</v>
      </c>
      <c r="H1635" s="352">
        <f t="shared" si="308"/>
        <v>0</v>
      </c>
      <c r="I1635" s="537" t="str">
        <f t="shared" si="309"/>
        <v>-</v>
      </c>
      <c r="J1635" s="538">
        <f t="shared" si="310"/>
        <v>0</v>
      </c>
      <c r="K1635" s="539" t="s">
        <v>2299</v>
      </c>
      <c r="L1635" s="20"/>
    </row>
    <row r="1636" spans="1:19">
      <c r="A1636" s="14" t="s">
        <v>31</v>
      </c>
      <c r="D1636" s="18">
        <v>20</v>
      </c>
      <c r="E1636" s="26" t="str">
        <f t="shared" si="306"/>
        <v>-</v>
      </c>
      <c r="F1636" s="311"/>
      <c r="G1636" s="307" t="str">
        <f t="shared" si="307"/>
        <v>-</v>
      </c>
      <c r="H1636" s="352">
        <f t="shared" si="308"/>
        <v>0</v>
      </c>
      <c r="I1636" s="537" t="str">
        <f t="shared" si="309"/>
        <v>-</v>
      </c>
      <c r="J1636" s="541">
        <f t="shared" si="310"/>
        <v>0</v>
      </c>
      <c r="K1636" s="539" t="s">
        <v>2299</v>
      </c>
      <c r="L1636" s="20"/>
    </row>
    <row r="1637" spans="1:19">
      <c r="A1637" s="14">
        <f>A1604+1</f>
        <v>35</v>
      </c>
      <c r="B1637" s="14" t="str">
        <f>"MA" &amp; TEXT(A1637,"##000")</f>
        <v>MA035</v>
      </c>
      <c r="D1637" s="18"/>
      <c r="E1637" s="591" t="s">
        <v>2302</v>
      </c>
      <c r="F1637" s="592"/>
      <c r="G1637" s="592"/>
      <c r="H1637" s="592"/>
      <c r="I1637" s="327"/>
      <c r="J1637" s="353">
        <f>SUM(J1617:J1636)</f>
        <v>3532</v>
      </c>
      <c r="K1637" s="365" t="str">
        <f>+F1614</f>
        <v>m2</v>
      </c>
      <c r="L1637" s="20"/>
      <c r="O1637" s="27" t="s">
        <v>1525</v>
      </c>
      <c r="P1637" s="110">
        <v>5</v>
      </c>
    </row>
    <row r="1638" spans="1:19">
      <c r="D1638" s="18"/>
      <c r="E1638" s="593" t="s">
        <v>100</v>
      </c>
      <c r="F1638" s="594"/>
      <c r="G1638" s="594"/>
      <c r="H1638" s="594"/>
      <c r="I1638" s="594"/>
      <c r="J1638" s="595"/>
      <c r="K1638" s="347"/>
      <c r="L1638" s="20"/>
      <c r="O1638" s="27" t="s">
        <v>1524</v>
      </c>
      <c r="P1638" s="110">
        <v>0</v>
      </c>
    </row>
    <row r="1639" spans="1:19">
      <c r="A1639" s="14" t="s">
        <v>84</v>
      </c>
      <c r="D1639" s="18">
        <v>1</v>
      </c>
      <c r="E1639" s="26" t="str">
        <f>VLOOKUP($A1639,MATMO,2,FALSE)</f>
        <v>Oficial</v>
      </c>
      <c r="F1639" s="311">
        <v>0.08</v>
      </c>
      <c r="G1639" s="307" t="str">
        <f>VLOOKUP($A1639,MATMO,3,FALSE)</f>
        <v>hs</v>
      </c>
      <c r="H1639" s="110">
        <f>VLOOKUP($A1639,MATMO,4,FALSE)*$Q$7</f>
        <v>55.38</v>
      </c>
      <c r="I1639" s="354" t="str">
        <f t="shared" ref="I1639:I1643" si="311">+G1639</f>
        <v>hs</v>
      </c>
      <c r="J1639" s="350">
        <f t="shared" ref="J1639:J1643" si="312">+H1639*F1639</f>
        <v>4.4304000000000006</v>
      </c>
      <c r="K1639" s="360" t="s">
        <v>2299</v>
      </c>
      <c r="L1639" s="20"/>
      <c r="M1639" s="14" t="s">
        <v>2006</v>
      </c>
      <c r="O1639" s="27" t="s">
        <v>1526</v>
      </c>
      <c r="P1639" s="110">
        <v>0</v>
      </c>
    </row>
    <row r="1640" spans="1:19">
      <c r="A1640" s="14" t="s">
        <v>85</v>
      </c>
      <c r="D1640" s="18">
        <v>2</v>
      </c>
      <c r="E1640" s="26" t="str">
        <f>VLOOKUP($A1640,MATMO,2,FALSE)</f>
        <v>Ayudante</v>
      </c>
      <c r="F1640" s="311">
        <v>0.01</v>
      </c>
      <c r="G1640" s="307" t="str">
        <f>VLOOKUP($A1640,MATMO,3,FALSE)</f>
        <v>hs</v>
      </c>
      <c r="H1640" s="110">
        <f>VLOOKUP($A1640,MATMO,4,FALSE)*$Q$7</f>
        <v>46.87</v>
      </c>
      <c r="I1640" s="354" t="str">
        <f t="shared" si="311"/>
        <v>hs</v>
      </c>
      <c r="J1640" s="350">
        <f t="shared" si="312"/>
        <v>0.46870000000000001</v>
      </c>
      <c r="K1640" s="360" t="s">
        <v>2299</v>
      </c>
      <c r="L1640" s="20"/>
      <c r="O1640" s="27" t="s">
        <v>1527</v>
      </c>
      <c r="P1640" s="110">
        <v>0</v>
      </c>
    </row>
    <row r="1641" spans="1:19">
      <c r="A1641" s="14" t="s">
        <v>2311</v>
      </c>
      <c r="D1641" s="18">
        <v>3</v>
      </c>
      <c r="E1641" s="26" t="str">
        <f>VLOOKUP($A1641,MATMO,2,FALSE)</f>
        <v>Cargas Sociales Oficial</v>
      </c>
      <c r="F1641" s="311">
        <f>+F1639</f>
        <v>0.08</v>
      </c>
      <c r="G1641" s="307" t="str">
        <f>VLOOKUP($A1641,MATMO,3,FALSE)</f>
        <v>hs</v>
      </c>
      <c r="H1641" s="110">
        <f>VLOOKUP($A1641,MATMO,4,FALSE)*$Q$7</f>
        <v>52.742782499999997</v>
      </c>
      <c r="I1641" s="354" t="str">
        <f t="shared" si="311"/>
        <v>hs</v>
      </c>
      <c r="J1641" s="350">
        <f t="shared" si="312"/>
        <v>4.2194225999999997</v>
      </c>
      <c r="K1641" s="360" t="s">
        <v>2299</v>
      </c>
      <c r="L1641" s="20"/>
      <c r="O1641" s="27"/>
      <c r="P1641" s="110">
        <v>0</v>
      </c>
    </row>
    <row r="1642" spans="1:19">
      <c r="A1642" s="14" t="s">
        <v>2312</v>
      </c>
      <c r="D1642" s="18">
        <v>4</v>
      </c>
      <c r="E1642" s="26" t="str">
        <f>VLOOKUP($A1642,MATMO,2,FALSE)</f>
        <v>Cargas Sociales Ayudante</v>
      </c>
      <c r="F1642" s="311">
        <f>+F1640</f>
        <v>0.01</v>
      </c>
      <c r="G1642" s="307" t="str">
        <f>VLOOKUP($A1642,MATMO,3,FALSE)</f>
        <v>hs</v>
      </c>
      <c r="H1642" s="110">
        <f>VLOOKUP($A1642,MATMO,4,FALSE)*$Q$7</f>
        <v>45.108248750000001</v>
      </c>
      <c r="I1642" s="354" t="str">
        <f t="shared" si="311"/>
        <v>hs</v>
      </c>
      <c r="J1642" s="350">
        <f t="shared" si="312"/>
        <v>0.45108248750000002</v>
      </c>
      <c r="K1642" s="360" t="s">
        <v>2299</v>
      </c>
      <c r="L1642" s="20"/>
      <c r="O1642" s="27"/>
      <c r="P1642" s="110">
        <v>0</v>
      </c>
    </row>
    <row r="1643" spans="1:19" ht="16.5" thickBot="1">
      <c r="A1643" s="14" t="s">
        <v>83</v>
      </c>
      <c r="D1643" s="18">
        <v>5</v>
      </c>
      <c r="E1643" s="26" t="str">
        <f>VLOOKUP($A1643,MATMO,2,FALSE)</f>
        <v>-</v>
      </c>
      <c r="F1643" s="311"/>
      <c r="G1643" s="307" t="str">
        <f>VLOOKUP($A1643,MATMO,3,FALSE)</f>
        <v>-</v>
      </c>
      <c r="H1643" s="110">
        <f>VLOOKUP($A1643,MATMO,4,FALSE)*$Q$7</f>
        <v>0</v>
      </c>
      <c r="I1643" s="537" t="str">
        <f t="shared" si="311"/>
        <v>-</v>
      </c>
      <c r="J1643" s="538">
        <f t="shared" si="312"/>
        <v>0</v>
      </c>
      <c r="K1643" s="539" t="s">
        <v>2299</v>
      </c>
      <c r="L1643" s="20"/>
      <c r="O1643" s="27"/>
      <c r="P1643" s="110">
        <v>0</v>
      </c>
      <c r="R1643" s="29" t="s">
        <v>2307</v>
      </c>
    </row>
    <row r="1644" spans="1:19" ht="16.5" thickBot="1">
      <c r="A1644" s="14">
        <f>A1604+1</f>
        <v>35</v>
      </c>
      <c r="B1644" s="14" t="str">
        <f>"MO" &amp; TEXT(A1644,"##000")</f>
        <v>MO035</v>
      </c>
      <c r="D1644" s="18"/>
      <c r="E1644" s="591" t="s">
        <v>2301</v>
      </c>
      <c r="F1644" s="592"/>
      <c r="G1644" s="592"/>
      <c r="H1644" s="592"/>
      <c r="I1644" s="327"/>
      <c r="J1644" s="362">
        <f>SUM(J1639:J1643)</f>
        <v>9.5696050875000012</v>
      </c>
      <c r="K1644" s="365" t="str">
        <f>+G1639</f>
        <v>hs</v>
      </c>
      <c r="L1644" s="20"/>
      <c r="N1644" s="111">
        <f>+P1644+R1644</f>
        <v>9.5</v>
      </c>
      <c r="O1644" s="27"/>
      <c r="P1644" s="27">
        <f>SUM(P1637:P1643)</f>
        <v>5</v>
      </c>
      <c r="Q1644" s="26">
        <v>0.9</v>
      </c>
      <c r="R1644" s="287">
        <f>+Q1644*P1644</f>
        <v>4.5</v>
      </c>
      <c r="S1644" s="288"/>
    </row>
    <row r="1645" spans="1:19">
      <c r="D1645" s="18"/>
      <c r="E1645" s="593" t="s">
        <v>101</v>
      </c>
      <c r="F1645" s="594"/>
      <c r="G1645" s="594"/>
      <c r="H1645" s="594"/>
      <c r="I1645" s="594"/>
      <c r="J1645" s="595"/>
      <c r="K1645" s="347"/>
      <c r="L1645" s="20"/>
      <c r="P1645" s="14" t="s">
        <v>2308</v>
      </c>
    </row>
    <row r="1646" spans="1:19">
      <c r="A1646" s="14" t="s">
        <v>119</v>
      </c>
      <c r="D1646" s="18">
        <v>1</v>
      </c>
      <c r="E1646" s="26" t="str">
        <f>VLOOKUP($A1646,MATMO,2,FALSE)</f>
        <v>Herramientas de Mano</v>
      </c>
      <c r="F1646" s="311">
        <v>1</v>
      </c>
      <c r="G1646" s="307" t="str">
        <f>VLOOKUP($A1646,MATMO,3,FALSE)</f>
        <v>gl</v>
      </c>
      <c r="H1646" s="110">
        <f>+(J1637+J1644)*$Q$5</f>
        <v>141.6627842035</v>
      </c>
      <c r="I1646" s="345" t="str">
        <f>+G1646</f>
        <v>gl</v>
      </c>
      <c r="J1646" s="350">
        <f t="shared" ref="J1646:J1650" si="313">+H1646*F1646</f>
        <v>141.6627842035</v>
      </c>
      <c r="K1646" s="360" t="s">
        <v>2299</v>
      </c>
      <c r="L1646" s="20"/>
      <c r="M1646" s="14" t="s">
        <v>2004</v>
      </c>
    </row>
    <row r="1647" spans="1:19">
      <c r="A1647" s="14" t="s">
        <v>118</v>
      </c>
      <c r="D1647" s="18">
        <v>2</v>
      </c>
      <c r="E1647" s="26" t="str">
        <f>VLOOKUP($A1647,MATMO,2,FALSE)</f>
        <v>-</v>
      </c>
      <c r="F1647" s="311"/>
      <c r="G1647" s="307" t="str">
        <f>VLOOKUP($A1647,MATMO,3,FALSE)</f>
        <v>-</v>
      </c>
      <c r="H1647" s="110">
        <f>VLOOKUP($A1647,MATMO,4,FALSE)*$Q$6</f>
        <v>0</v>
      </c>
      <c r="I1647" s="543" t="str">
        <f t="shared" ref="I1647:I1650" si="314">+G1647</f>
        <v>-</v>
      </c>
      <c r="J1647" s="538">
        <f t="shared" si="313"/>
        <v>0</v>
      </c>
      <c r="K1647" s="539" t="s">
        <v>2299</v>
      </c>
      <c r="L1647" s="20"/>
    </row>
    <row r="1648" spans="1:19">
      <c r="A1648" s="14" t="s">
        <v>118</v>
      </c>
      <c r="D1648" s="18">
        <v>3</v>
      </c>
      <c r="E1648" s="26" t="str">
        <f>VLOOKUP($A1648,MATMO,2,FALSE)</f>
        <v>-</v>
      </c>
      <c r="F1648" s="311"/>
      <c r="G1648" s="307" t="str">
        <f>VLOOKUP($A1648,MATMO,3,FALSE)</f>
        <v>-</v>
      </c>
      <c r="H1648" s="110">
        <f>VLOOKUP($A1648,MATMO,4,FALSE)*$Q$6</f>
        <v>0</v>
      </c>
      <c r="I1648" s="543" t="str">
        <f t="shared" si="314"/>
        <v>-</v>
      </c>
      <c r="J1648" s="538">
        <f t="shared" si="313"/>
        <v>0</v>
      </c>
      <c r="K1648" s="539" t="s">
        <v>2299</v>
      </c>
      <c r="L1648" s="20"/>
    </row>
    <row r="1649" spans="1:13">
      <c r="A1649" s="14" t="s">
        <v>118</v>
      </c>
      <c r="D1649" s="18">
        <v>4</v>
      </c>
      <c r="E1649" s="26" t="str">
        <f>VLOOKUP($A1649,MATMO,2,FALSE)</f>
        <v>-</v>
      </c>
      <c r="F1649" s="311"/>
      <c r="G1649" s="307" t="str">
        <f>VLOOKUP($A1649,MATMO,3,FALSE)</f>
        <v>-</v>
      </c>
      <c r="H1649" s="110">
        <f>VLOOKUP($A1649,MATMO,4,FALSE)*$Q$6</f>
        <v>0</v>
      </c>
      <c r="I1649" s="543" t="str">
        <f t="shared" si="314"/>
        <v>-</v>
      </c>
      <c r="J1649" s="538">
        <f t="shared" si="313"/>
        <v>0</v>
      </c>
      <c r="K1649" s="539" t="s">
        <v>2299</v>
      </c>
      <c r="L1649" s="20"/>
    </row>
    <row r="1650" spans="1:13">
      <c r="A1650" s="14" t="s">
        <v>118</v>
      </c>
      <c r="D1650" s="18">
        <v>5</v>
      </c>
      <c r="E1650" s="26" t="str">
        <f>VLOOKUP($A1650,MATMO,2,FALSE)</f>
        <v>-</v>
      </c>
      <c r="F1650" s="311"/>
      <c r="G1650" s="307" t="str">
        <f>VLOOKUP($A1650,MATMO,3,FALSE)</f>
        <v>-</v>
      </c>
      <c r="H1650" s="110">
        <f>VLOOKUP($A1650,MATMO,4,FALSE)*$Q$6</f>
        <v>0</v>
      </c>
      <c r="I1650" s="543" t="str">
        <f t="shared" si="314"/>
        <v>-</v>
      </c>
      <c r="J1650" s="538">
        <f t="shared" si="313"/>
        <v>0</v>
      </c>
      <c r="K1650" s="539" t="s">
        <v>2299</v>
      </c>
      <c r="L1650" s="20"/>
    </row>
    <row r="1651" spans="1:13">
      <c r="A1651" s="14">
        <f>A1604+1</f>
        <v>35</v>
      </c>
      <c r="B1651" s="14" t="str">
        <f>"E" &amp; TEXT(A1651,"##000")</f>
        <v>E035</v>
      </c>
      <c r="D1651" s="18"/>
      <c r="E1651" s="591" t="s">
        <v>2300</v>
      </c>
      <c r="F1651" s="592"/>
      <c r="G1651" s="592"/>
      <c r="H1651" s="592"/>
      <c r="I1651" s="327"/>
      <c r="J1651" s="362">
        <f>SUM(J1646:J1650)</f>
        <v>141.6627842035</v>
      </c>
      <c r="K1651" s="365" t="s">
        <v>116</v>
      </c>
      <c r="L1651" s="20"/>
    </row>
    <row r="1652" spans="1:13">
      <c r="D1652" s="18"/>
      <c r="E1652" s="596"/>
      <c r="F1652" s="597"/>
      <c r="G1652" s="597"/>
      <c r="H1652" s="597"/>
      <c r="I1652" s="597"/>
      <c r="J1652" s="598"/>
      <c r="K1652" s="348"/>
      <c r="L1652" s="20"/>
    </row>
    <row r="1653" spans="1:13">
      <c r="D1653" s="18"/>
      <c r="E1653" s="591" t="s">
        <v>2306</v>
      </c>
      <c r="F1653" s="592"/>
      <c r="G1653" s="592"/>
      <c r="H1653" s="592"/>
      <c r="I1653" s="327"/>
      <c r="J1653" s="308">
        <f>+J1651+J1644+J1637</f>
        <v>3683.2323892909999</v>
      </c>
      <c r="K1653" s="365" t="str">
        <f>+F1614</f>
        <v>m2</v>
      </c>
      <c r="L1653" s="20"/>
    </row>
    <row r="1654" spans="1:13">
      <c r="D1654" s="18"/>
      <c r="E1654" s="591" t="s">
        <v>2305</v>
      </c>
      <c r="F1654" s="592"/>
      <c r="G1654" s="592"/>
      <c r="H1654" s="592"/>
      <c r="I1654" s="406">
        <f>+$Q$9</f>
        <v>1.6902999999999999</v>
      </c>
      <c r="J1654" s="308">
        <f>+$Q$9*J1653</f>
        <v>6225.7677076185764</v>
      </c>
      <c r="K1654" s="365" t="str">
        <f>+F1614</f>
        <v>m2</v>
      </c>
      <c r="L1654" s="20"/>
    </row>
    <row r="1655" spans="1:13">
      <c r="A1655" s="14">
        <f>A1608+1</f>
        <v>35</v>
      </c>
      <c r="B1655" s="14" t="str">
        <f>"TR" &amp; TEXT(A1655,"##000")</f>
        <v>TR035</v>
      </c>
      <c r="C1655" s="14">
        <f>+C1608+1</f>
        <v>35</v>
      </c>
      <c r="D1655" s="18"/>
      <c r="E1655" s="591" t="s">
        <v>2304</v>
      </c>
      <c r="F1655" s="592"/>
      <c r="G1655" s="592"/>
      <c r="H1655" s="592"/>
      <c r="I1655" s="327"/>
      <c r="J1655" s="308">
        <f>+J1654</f>
        <v>6225.7677076185764</v>
      </c>
      <c r="K1655" s="365" t="str">
        <f>+F1614</f>
        <v>m2</v>
      </c>
      <c r="L1655" s="20"/>
    </row>
    <row r="1656" spans="1:13" ht="16.5" thickBot="1">
      <c r="D1656" s="21"/>
      <c r="E1656" s="30"/>
      <c r="F1656" s="30"/>
      <c r="G1656" s="30"/>
      <c r="H1656" s="30"/>
      <c r="I1656" s="30"/>
      <c r="J1656" s="30"/>
      <c r="K1656" s="349"/>
      <c r="L1656" s="22"/>
    </row>
    <row r="1657" spans="1:13" ht="16.5" thickTop="1">
      <c r="D1657" s="15"/>
      <c r="E1657" s="16"/>
      <c r="F1657" s="16"/>
      <c r="G1657" s="16"/>
      <c r="H1657" s="16"/>
      <c r="I1657" s="16"/>
      <c r="J1657" s="16"/>
      <c r="K1657" s="16"/>
      <c r="L1657" s="17"/>
    </row>
    <row r="1658" spans="1:13">
      <c r="A1658" s="14" t="s">
        <v>1889</v>
      </c>
      <c r="D1658" s="18"/>
      <c r="E1658" s="23" t="s">
        <v>95</v>
      </c>
      <c r="F1658" s="24" t="str">
        <f>VLOOKUP($A1658,DATRUB,3,FALSE)</f>
        <v>RUBRO X:</v>
      </c>
      <c r="G1658" s="599" t="str">
        <f>VLOOKUP($A1658,DATRUB,4,FALSE)</f>
        <v>CARPINTERÍA de MADERA</v>
      </c>
      <c r="H1658" s="599"/>
      <c r="I1658" s="599"/>
      <c r="J1658" s="599"/>
      <c r="K1658" s="599"/>
      <c r="L1658" s="20"/>
    </row>
    <row r="1659" spans="1:13" ht="35.1" customHeight="1">
      <c r="A1659" s="14" t="s">
        <v>1858</v>
      </c>
      <c r="D1659" s="18"/>
      <c r="E1659" s="23" t="s">
        <v>96</v>
      </c>
      <c r="F1659" s="399">
        <f>VLOOKUP($A1659,DATRUB,3,FALSE)</f>
        <v>10.1</v>
      </c>
      <c r="G1659" s="599" t="str">
        <f>VLOOKUP($A1659,DATRUB,4,FALSE)</f>
        <v>P3 : 1,00 x 2,05 Hoja (Baño Discapacitados)</v>
      </c>
      <c r="H1659" s="599"/>
      <c r="I1659" s="599"/>
      <c r="J1659" s="599"/>
      <c r="K1659" s="599"/>
      <c r="L1659" s="20"/>
    </row>
    <row r="1660" spans="1:13" ht="35.1" customHeight="1">
      <c r="A1660" s="14" t="s">
        <v>1858</v>
      </c>
      <c r="D1660" s="18"/>
      <c r="E1660" s="23" t="s">
        <v>97</v>
      </c>
      <c r="F1660" s="399">
        <f>VLOOKUP($A1660,DATRUB,3,FALSE)</f>
        <v>10.1</v>
      </c>
      <c r="G1660" s="599" t="str">
        <f>VLOOKUP($A1660,DATRUB,4,FALSE)</f>
        <v>P3 : 1,00 x 2,05 Hoja (Baño Discapacitados)</v>
      </c>
      <c r="H1660" s="599"/>
      <c r="I1660" s="599"/>
      <c r="J1660" s="599"/>
      <c r="K1660" s="599"/>
      <c r="L1660" s="20"/>
    </row>
    <row r="1661" spans="1:13">
      <c r="D1661" s="18"/>
      <c r="E1661" s="23" t="s">
        <v>98</v>
      </c>
      <c r="F1661" s="24" t="str">
        <f>VLOOKUP($A1660,DATRUB,5,FALSE)</f>
        <v>ud</v>
      </c>
      <c r="G1661" s="600"/>
      <c r="H1661" s="600"/>
      <c r="I1661" s="600"/>
      <c r="J1661" s="600"/>
      <c r="K1661" s="600"/>
      <c r="L1661" s="20"/>
    </row>
    <row r="1662" spans="1:13">
      <c r="D1662" s="18"/>
      <c r="E1662" s="24" t="s">
        <v>1158</v>
      </c>
      <c r="F1662" s="25" t="s">
        <v>1250</v>
      </c>
      <c r="G1662" s="24" t="s">
        <v>24</v>
      </c>
      <c r="H1662" s="24" t="s">
        <v>25</v>
      </c>
      <c r="I1662" s="24" t="s">
        <v>24</v>
      </c>
      <c r="J1662" s="24" t="s">
        <v>2298</v>
      </c>
      <c r="K1662" s="24" t="s">
        <v>24</v>
      </c>
      <c r="L1662" s="20"/>
    </row>
    <row r="1663" spans="1:13">
      <c r="D1663" s="18"/>
      <c r="E1663" s="593" t="s">
        <v>99</v>
      </c>
      <c r="F1663" s="594"/>
      <c r="G1663" s="594"/>
      <c r="H1663" s="594"/>
      <c r="I1663" s="594"/>
      <c r="J1663" s="594"/>
      <c r="K1663" s="595"/>
      <c r="L1663" s="20"/>
    </row>
    <row r="1664" spans="1:13">
      <c r="A1664" s="14" t="s">
        <v>2435</v>
      </c>
      <c r="D1664" s="18">
        <v>1</v>
      </c>
      <c r="E1664" s="355" t="str">
        <f t="shared" ref="E1664:E1683" si="315">VLOOKUP($A1664,MATMO,2,FALSE)</f>
        <v>P3 : 1,00 x 2,05 Hoja (Baño Discapacitados)</v>
      </c>
      <c r="F1664" s="356">
        <v>1</v>
      </c>
      <c r="G1664" s="357" t="str">
        <f t="shared" ref="G1664:G1683" si="316">VLOOKUP($A1664,MATMO,3,FALSE)</f>
        <v>un</v>
      </c>
      <c r="H1664" s="358">
        <f t="shared" ref="H1664:H1683" si="317">VLOOKUP($A1664,MATMO,4,FALSE)*$Q$6</f>
        <v>1700</v>
      </c>
      <c r="I1664" s="359" t="str">
        <f t="shared" ref="I1664:I1683" si="318">+G1664</f>
        <v>un</v>
      </c>
      <c r="J1664" s="361">
        <f>+H1664*F1664</f>
        <v>1700</v>
      </c>
      <c r="K1664" s="360" t="s">
        <v>2299</v>
      </c>
      <c r="L1664" s="20"/>
      <c r="M1664" s="14" t="s">
        <v>2005</v>
      </c>
    </row>
    <row r="1665" spans="1:12">
      <c r="A1665" s="14" t="s">
        <v>31</v>
      </c>
      <c r="D1665" s="18">
        <v>2</v>
      </c>
      <c r="E1665" s="26" t="str">
        <f t="shared" si="315"/>
        <v>-</v>
      </c>
      <c r="F1665" s="311"/>
      <c r="G1665" s="307" t="str">
        <f t="shared" si="316"/>
        <v>-</v>
      </c>
      <c r="H1665" s="351">
        <f t="shared" si="317"/>
        <v>0</v>
      </c>
      <c r="I1665" s="537" t="str">
        <f t="shared" si="318"/>
        <v>-</v>
      </c>
      <c r="J1665" s="538">
        <f t="shared" ref="J1665:J1683" si="319">+H1665*F1665</f>
        <v>0</v>
      </c>
      <c r="K1665" s="539" t="s">
        <v>2299</v>
      </c>
      <c r="L1665" s="20"/>
    </row>
    <row r="1666" spans="1:12">
      <c r="A1666" s="14" t="s">
        <v>31</v>
      </c>
      <c r="D1666" s="18">
        <v>3</v>
      </c>
      <c r="E1666" s="26" t="str">
        <f t="shared" si="315"/>
        <v>-</v>
      </c>
      <c r="F1666" s="311"/>
      <c r="G1666" s="307" t="str">
        <f t="shared" si="316"/>
        <v>-</v>
      </c>
      <c r="H1666" s="351">
        <f t="shared" si="317"/>
        <v>0</v>
      </c>
      <c r="I1666" s="537" t="str">
        <f t="shared" si="318"/>
        <v>-</v>
      </c>
      <c r="J1666" s="538">
        <f t="shared" si="319"/>
        <v>0</v>
      </c>
      <c r="K1666" s="539" t="s">
        <v>2299</v>
      </c>
      <c r="L1666" s="20"/>
    </row>
    <row r="1667" spans="1:12">
      <c r="A1667" s="14" t="s">
        <v>31</v>
      </c>
      <c r="D1667" s="18">
        <v>4</v>
      </c>
      <c r="E1667" s="26" t="str">
        <f t="shared" si="315"/>
        <v>-</v>
      </c>
      <c r="F1667" s="311"/>
      <c r="G1667" s="307" t="str">
        <f t="shared" si="316"/>
        <v>-</v>
      </c>
      <c r="H1667" s="351">
        <f t="shared" si="317"/>
        <v>0</v>
      </c>
      <c r="I1667" s="537" t="str">
        <f t="shared" si="318"/>
        <v>-</v>
      </c>
      <c r="J1667" s="538">
        <f t="shared" si="319"/>
        <v>0</v>
      </c>
      <c r="K1667" s="539" t="s">
        <v>2299</v>
      </c>
      <c r="L1667" s="20"/>
    </row>
    <row r="1668" spans="1:12">
      <c r="A1668" s="14" t="s">
        <v>31</v>
      </c>
      <c r="D1668" s="18">
        <v>5</v>
      </c>
      <c r="E1668" s="26" t="str">
        <f t="shared" si="315"/>
        <v>-</v>
      </c>
      <c r="F1668" s="311"/>
      <c r="G1668" s="307" t="str">
        <f t="shared" si="316"/>
        <v>-</v>
      </c>
      <c r="H1668" s="351">
        <f t="shared" si="317"/>
        <v>0</v>
      </c>
      <c r="I1668" s="537" t="str">
        <f t="shared" si="318"/>
        <v>-</v>
      </c>
      <c r="J1668" s="538">
        <f t="shared" si="319"/>
        <v>0</v>
      </c>
      <c r="K1668" s="539" t="s">
        <v>2299</v>
      </c>
      <c r="L1668" s="20"/>
    </row>
    <row r="1669" spans="1:12">
      <c r="A1669" s="14" t="s">
        <v>31</v>
      </c>
      <c r="D1669" s="18">
        <v>6</v>
      </c>
      <c r="E1669" s="26" t="str">
        <f t="shared" si="315"/>
        <v>-</v>
      </c>
      <c r="F1669" s="311"/>
      <c r="G1669" s="307" t="str">
        <f t="shared" si="316"/>
        <v>-</v>
      </c>
      <c r="H1669" s="351">
        <f t="shared" si="317"/>
        <v>0</v>
      </c>
      <c r="I1669" s="537" t="str">
        <f t="shared" si="318"/>
        <v>-</v>
      </c>
      <c r="J1669" s="538">
        <f t="shared" si="319"/>
        <v>0</v>
      </c>
      <c r="K1669" s="539" t="s">
        <v>2299</v>
      </c>
      <c r="L1669" s="20"/>
    </row>
    <row r="1670" spans="1:12">
      <c r="A1670" s="14" t="s">
        <v>31</v>
      </c>
      <c r="D1670" s="18">
        <v>7</v>
      </c>
      <c r="E1670" s="26" t="str">
        <f t="shared" si="315"/>
        <v>-</v>
      </c>
      <c r="F1670" s="311"/>
      <c r="G1670" s="307" t="str">
        <f t="shared" si="316"/>
        <v>-</v>
      </c>
      <c r="H1670" s="351">
        <f t="shared" si="317"/>
        <v>0</v>
      </c>
      <c r="I1670" s="537" t="str">
        <f t="shared" si="318"/>
        <v>-</v>
      </c>
      <c r="J1670" s="538">
        <f t="shared" si="319"/>
        <v>0</v>
      </c>
      <c r="K1670" s="539" t="s">
        <v>2299</v>
      </c>
      <c r="L1670" s="20"/>
    </row>
    <row r="1671" spans="1:12">
      <c r="A1671" s="14" t="s">
        <v>31</v>
      </c>
      <c r="D1671" s="18">
        <v>8</v>
      </c>
      <c r="E1671" s="26" t="str">
        <f t="shared" si="315"/>
        <v>-</v>
      </c>
      <c r="F1671" s="311"/>
      <c r="G1671" s="307" t="str">
        <f t="shared" si="316"/>
        <v>-</v>
      </c>
      <c r="H1671" s="351">
        <f t="shared" si="317"/>
        <v>0</v>
      </c>
      <c r="I1671" s="537" t="str">
        <f t="shared" si="318"/>
        <v>-</v>
      </c>
      <c r="J1671" s="538">
        <f t="shared" si="319"/>
        <v>0</v>
      </c>
      <c r="K1671" s="539" t="s">
        <v>2299</v>
      </c>
      <c r="L1671" s="20"/>
    </row>
    <row r="1672" spans="1:12">
      <c r="A1672" s="14" t="s">
        <v>31</v>
      </c>
      <c r="D1672" s="18">
        <v>9</v>
      </c>
      <c r="E1672" s="26" t="str">
        <f t="shared" si="315"/>
        <v>-</v>
      </c>
      <c r="F1672" s="311"/>
      <c r="G1672" s="307" t="str">
        <f t="shared" si="316"/>
        <v>-</v>
      </c>
      <c r="H1672" s="351">
        <f t="shared" si="317"/>
        <v>0</v>
      </c>
      <c r="I1672" s="537" t="str">
        <f t="shared" si="318"/>
        <v>-</v>
      </c>
      <c r="J1672" s="538">
        <f t="shared" si="319"/>
        <v>0</v>
      </c>
      <c r="K1672" s="539" t="s">
        <v>2299</v>
      </c>
      <c r="L1672" s="20"/>
    </row>
    <row r="1673" spans="1:12">
      <c r="A1673" s="14" t="s">
        <v>31</v>
      </c>
      <c r="D1673" s="18">
        <v>10</v>
      </c>
      <c r="E1673" s="26" t="str">
        <f t="shared" si="315"/>
        <v>-</v>
      </c>
      <c r="F1673" s="311"/>
      <c r="G1673" s="307" t="str">
        <f t="shared" si="316"/>
        <v>-</v>
      </c>
      <c r="H1673" s="351">
        <f t="shared" si="317"/>
        <v>0</v>
      </c>
      <c r="I1673" s="537" t="str">
        <f t="shared" si="318"/>
        <v>-</v>
      </c>
      <c r="J1673" s="538">
        <f t="shared" si="319"/>
        <v>0</v>
      </c>
      <c r="K1673" s="539" t="s">
        <v>2299</v>
      </c>
      <c r="L1673" s="20"/>
    </row>
    <row r="1674" spans="1:12">
      <c r="A1674" s="14" t="s">
        <v>31</v>
      </c>
      <c r="D1674" s="18">
        <v>11</v>
      </c>
      <c r="E1674" s="26" t="str">
        <f t="shared" si="315"/>
        <v>-</v>
      </c>
      <c r="F1674" s="311"/>
      <c r="G1674" s="307" t="str">
        <f t="shared" si="316"/>
        <v>-</v>
      </c>
      <c r="H1674" s="351">
        <f t="shared" si="317"/>
        <v>0</v>
      </c>
      <c r="I1674" s="537" t="str">
        <f t="shared" si="318"/>
        <v>-</v>
      </c>
      <c r="J1674" s="538">
        <f t="shared" si="319"/>
        <v>0</v>
      </c>
      <c r="K1674" s="539" t="s">
        <v>2299</v>
      </c>
      <c r="L1674" s="20"/>
    </row>
    <row r="1675" spans="1:12">
      <c r="A1675" s="14" t="s">
        <v>31</v>
      </c>
      <c r="D1675" s="18">
        <v>12</v>
      </c>
      <c r="E1675" s="26" t="str">
        <f t="shared" si="315"/>
        <v>-</v>
      </c>
      <c r="F1675" s="311"/>
      <c r="G1675" s="307" t="str">
        <f t="shared" si="316"/>
        <v>-</v>
      </c>
      <c r="H1675" s="352">
        <f t="shared" si="317"/>
        <v>0</v>
      </c>
      <c r="I1675" s="537" t="str">
        <f t="shared" si="318"/>
        <v>-</v>
      </c>
      <c r="J1675" s="538">
        <f t="shared" si="319"/>
        <v>0</v>
      </c>
      <c r="K1675" s="539" t="s">
        <v>2299</v>
      </c>
      <c r="L1675" s="20"/>
    </row>
    <row r="1676" spans="1:12">
      <c r="A1676" s="14" t="s">
        <v>31</v>
      </c>
      <c r="D1676" s="18">
        <v>13</v>
      </c>
      <c r="E1676" s="26" t="str">
        <f t="shared" si="315"/>
        <v>-</v>
      </c>
      <c r="F1676" s="311"/>
      <c r="G1676" s="307" t="str">
        <f t="shared" si="316"/>
        <v>-</v>
      </c>
      <c r="H1676" s="352">
        <f t="shared" si="317"/>
        <v>0</v>
      </c>
      <c r="I1676" s="537" t="str">
        <f t="shared" si="318"/>
        <v>-</v>
      </c>
      <c r="J1676" s="538">
        <f t="shared" si="319"/>
        <v>0</v>
      </c>
      <c r="K1676" s="539" t="s">
        <v>2299</v>
      </c>
      <c r="L1676" s="20"/>
    </row>
    <row r="1677" spans="1:12">
      <c r="A1677" s="14" t="s">
        <v>31</v>
      </c>
      <c r="D1677" s="18">
        <v>14</v>
      </c>
      <c r="E1677" s="26" t="str">
        <f t="shared" si="315"/>
        <v>-</v>
      </c>
      <c r="F1677" s="311"/>
      <c r="G1677" s="307" t="str">
        <f t="shared" si="316"/>
        <v>-</v>
      </c>
      <c r="H1677" s="352">
        <f t="shared" si="317"/>
        <v>0</v>
      </c>
      <c r="I1677" s="537" t="str">
        <f t="shared" si="318"/>
        <v>-</v>
      </c>
      <c r="J1677" s="538">
        <f t="shared" si="319"/>
        <v>0</v>
      </c>
      <c r="K1677" s="539" t="s">
        <v>2299</v>
      </c>
      <c r="L1677" s="20"/>
    </row>
    <row r="1678" spans="1:12">
      <c r="A1678" s="14" t="s">
        <v>31</v>
      </c>
      <c r="D1678" s="18">
        <v>15</v>
      </c>
      <c r="E1678" s="26" t="str">
        <f t="shared" si="315"/>
        <v>-</v>
      </c>
      <c r="F1678" s="311"/>
      <c r="G1678" s="307" t="str">
        <f t="shared" si="316"/>
        <v>-</v>
      </c>
      <c r="H1678" s="352">
        <f t="shared" si="317"/>
        <v>0</v>
      </c>
      <c r="I1678" s="537" t="str">
        <f t="shared" si="318"/>
        <v>-</v>
      </c>
      <c r="J1678" s="538">
        <f t="shared" si="319"/>
        <v>0</v>
      </c>
      <c r="K1678" s="539" t="s">
        <v>2299</v>
      </c>
      <c r="L1678" s="20"/>
    </row>
    <row r="1679" spans="1:12">
      <c r="A1679" s="14" t="s">
        <v>31</v>
      </c>
      <c r="D1679" s="18">
        <v>16</v>
      </c>
      <c r="E1679" s="26" t="str">
        <f t="shared" si="315"/>
        <v>-</v>
      </c>
      <c r="F1679" s="311"/>
      <c r="G1679" s="307" t="str">
        <f t="shared" si="316"/>
        <v>-</v>
      </c>
      <c r="H1679" s="352">
        <f t="shared" si="317"/>
        <v>0</v>
      </c>
      <c r="I1679" s="537" t="str">
        <f t="shared" si="318"/>
        <v>-</v>
      </c>
      <c r="J1679" s="538">
        <f t="shared" si="319"/>
        <v>0</v>
      </c>
      <c r="K1679" s="539" t="s">
        <v>2299</v>
      </c>
      <c r="L1679" s="20"/>
    </row>
    <row r="1680" spans="1:12">
      <c r="A1680" s="14" t="s">
        <v>31</v>
      </c>
      <c r="D1680" s="18">
        <v>17</v>
      </c>
      <c r="E1680" s="26" t="str">
        <f t="shared" si="315"/>
        <v>-</v>
      </c>
      <c r="F1680" s="311"/>
      <c r="G1680" s="307" t="str">
        <f t="shared" si="316"/>
        <v>-</v>
      </c>
      <c r="H1680" s="352">
        <f t="shared" si="317"/>
        <v>0</v>
      </c>
      <c r="I1680" s="537" t="str">
        <f t="shared" si="318"/>
        <v>-</v>
      </c>
      <c r="J1680" s="538">
        <f t="shared" si="319"/>
        <v>0</v>
      </c>
      <c r="K1680" s="539" t="s">
        <v>2299</v>
      </c>
      <c r="L1680" s="20"/>
    </row>
    <row r="1681" spans="1:19">
      <c r="A1681" s="14" t="s">
        <v>31</v>
      </c>
      <c r="D1681" s="18">
        <v>18</v>
      </c>
      <c r="E1681" s="26" t="str">
        <f t="shared" si="315"/>
        <v>-</v>
      </c>
      <c r="F1681" s="311"/>
      <c r="G1681" s="307" t="str">
        <f t="shared" si="316"/>
        <v>-</v>
      </c>
      <c r="H1681" s="352">
        <f t="shared" si="317"/>
        <v>0</v>
      </c>
      <c r="I1681" s="537" t="str">
        <f t="shared" si="318"/>
        <v>-</v>
      </c>
      <c r="J1681" s="538">
        <f t="shared" si="319"/>
        <v>0</v>
      </c>
      <c r="K1681" s="539" t="s">
        <v>2299</v>
      </c>
      <c r="L1681" s="20"/>
    </row>
    <row r="1682" spans="1:19">
      <c r="A1682" s="14" t="s">
        <v>31</v>
      </c>
      <c r="D1682" s="18">
        <v>19</v>
      </c>
      <c r="E1682" s="26" t="str">
        <f t="shared" si="315"/>
        <v>-</v>
      </c>
      <c r="F1682" s="311"/>
      <c r="G1682" s="307" t="str">
        <f t="shared" si="316"/>
        <v>-</v>
      </c>
      <c r="H1682" s="352">
        <f t="shared" si="317"/>
        <v>0</v>
      </c>
      <c r="I1682" s="537" t="str">
        <f t="shared" si="318"/>
        <v>-</v>
      </c>
      <c r="J1682" s="538">
        <f t="shared" si="319"/>
        <v>0</v>
      </c>
      <c r="K1682" s="539" t="s">
        <v>2299</v>
      </c>
      <c r="L1682" s="20"/>
    </row>
    <row r="1683" spans="1:19">
      <c r="A1683" s="14" t="s">
        <v>31</v>
      </c>
      <c r="D1683" s="18">
        <v>20</v>
      </c>
      <c r="E1683" s="26" t="str">
        <f t="shared" si="315"/>
        <v>-</v>
      </c>
      <c r="F1683" s="311"/>
      <c r="G1683" s="307" t="str">
        <f t="shared" si="316"/>
        <v>-</v>
      </c>
      <c r="H1683" s="352">
        <f t="shared" si="317"/>
        <v>0</v>
      </c>
      <c r="I1683" s="537" t="str">
        <f t="shared" si="318"/>
        <v>-</v>
      </c>
      <c r="J1683" s="541">
        <f t="shared" si="319"/>
        <v>0</v>
      </c>
      <c r="K1683" s="539" t="s">
        <v>2299</v>
      </c>
      <c r="L1683" s="20"/>
    </row>
    <row r="1684" spans="1:19">
      <c r="A1684" s="14">
        <f>A1651+1</f>
        <v>36</v>
      </c>
      <c r="B1684" s="14" t="str">
        <f>"MA" &amp; TEXT(A1684,"##000")</f>
        <v>MA036</v>
      </c>
      <c r="D1684" s="18"/>
      <c r="E1684" s="591" t="s">
        <v>2302</v>
      </c>
      <c r="F1684" s="592"/>
      <c r="G1684" s="592"/>
      <c r="H1684" s="592"/>
      <c r="I1684" s="327"/>
      <c r="J1684" s="353">
        <f>SUM(J1664:J1683)</f>
        <v>1700</v>
      </c>
      <c r="K1684" s="365" t="str">
        <f>+F1661</f>
        <v>ud</v>
      </c>
      <c r="L1684" s="20"/>
      <c r="O1684" s="27" t="s">
        <v>1525</v>
      </c>
      <c r="P1684" s="110">
        <v>150</v>
      </c>
    </row>
    <row r="1685" spans="1:19">
      <c r="D1685" s="18"/>
      <c r="E1685" s="593" t="s">
        <v>100</v>
      </c>
      <c r="F1685" s="594"/>
      <c r="G1685" s="594"/>
      <c r="H1685" s="594"/>
      <c r="I1685" s="594"/>
      <c r="J1685" s="595"/>
      <c r="K1685" s="347"/>
      <c r="L1685" s="20"/>
      <c r="O1685" s="27" t="s">
        <v>1524</v>
      </c>
      <c r="P1685" s="110">
        <v>0</v>
      </c>
    </row>
    <row r="1686" spans="1:19">
      <c r="A1686" s="14" t="s">
        <v>84</v>
      </c>
      <c r="D1686" s="18">
        <v>1</v>
      </c>
      <c r="E1686" s="26" t="str">
        <f>VLOOKUP($A1686,MATMO,2,FALSE)</f>
        <v>Oficial</v>
      </c>
      <c r="F1686" s="311">
        <v>0.25</v>
      </c>
      <c r="G1686" s="307" t="str">
        <f>VLOOKUP($A1686,MATMO,3,FALSE)</f>
        <v>hs</v>
      </c>
      <c r="H1686" s="110">
        <f>VLOOKUP($A1686,MATMO,4,FALSE)*$Q$7</f>
        <v>55.38</v>
      </c>
      <c r="I1686" s="354" t="str">
        <f t="shared" ref="I1686:I1690" si="320">+G1686</f>
        <v>hs</v>
      </c>
      <c r="J1686" s="350">
        <f t="shared" ref="J1686:J1690" si="321">+H1686*F1686</f>
        <v>13.845000000000001</v>
      </c>
      <c r="K1686" s="360" t="s">
        <v>2299</v>
      </c>
      <c r="L1686" s="20"/>
      <c r="M1686" s="14" t="s">
        <v>2006</v>
      </c>
      <c r="O1686" s="27" t="s">
        <v>1526</v>
      </c>
      <c r="P1686" s="110">
        <v>0</v>
      </c>
    </row>
    <row r="1687" spans="1:19">
      <c r="A1687" s="14" t="s">
        <v>85</v>
      </c>
      <c r="D1687" s="18">
        <v>2</v>
      </c>
      <c r="E1687" s="26" t="str">
        <f>VLOOKUP($A1687,MATMO,2,FALSE)</f>
        <v>Ayudante</v>
      </c>
      <c r="F1687" s="311">
        <v>0.1</v>
      </c>
      <c r="G1687" s="307" t="str">
        <f>VLOOKUP($A1687,MATMO,3,FALSE)</f>
        <v>hs</v>
      </c>
      <c r="H1687" s="110">
        <f>VLOOKUP($A1687,MATMO,4,FALSE)*$Q$7</f>
        <v>46.87</v>
      </c>
      <c r="I1687" s="354" t="str">
        <f t="shared" si="320"/>
        <v>hs</v>
      </c>
      <c r="J1687" s="350">
        <f t="shared" si="321"/>
        <v>4.6870000000000003</v>
      </c>
      <c r="K1687" s="360" t="s">
        <v>2299</v>
      </c>
      <c r="L1687" s="20"/>
      <c r="O1687" s="27" t="s">
        <v>1527</v>
      </c>
      <c r="P1687" s="110">
        <v>0</v>
      </c>
    </row>
    <row r="1688" spans="1:19">
      <c r="A1688" s="14" t="s">
        <v>2311</v>
      </c>
      <c r="D1688" s="18">
        <v>3</v>
      </c>
      <c r="E1688" s="26" t="str">
        <f>VLOOKUP($A1688,MATMO,2,FALSE)</f>
        <v>Cargas Sociales Oficial</v>
      </c>
      <c r="F1688" s="311">
        <f>+F1686</f>
        <v>0.25</v>
      </c>
      <c r="G1688" s="307" t="str">
        <f>VLOOKUP($A1688,MATMO,3,FALSE)</f>
        <v>hs</v>
      </c>
      <c r="H1688" s="110">
        <f>VLOOKUP($A1688,MATMO,4,FALSE)*$Q$7</f>
        <v>52.742782499999997</v>
      </c>
      <c r="I1688" s="354" t="str">
        <f t="shared" si="320"/>
        <v>hs</v>
      </c>
      <c r="J1688" s="350">
        <f t="shared" si="321"/>
        <v>13.185695624999999</v>
      </c>
      <c r="K1688" s="360" t="s">
        <v>2299</v>
      </c>
      <c r="L1688" s="20"/>
      <c r="O1688" s="27"/>
      <c r="P1688" s="110">
        <v>0</v>
      </c>
    </row>
    <row r="1689" spans="1:19">
      <c r="A1689" s="14" t="s">
        <v>2312</v>
      </c>
      <c r="D1689" s="18">
        <v>4</v>
      </c>
      <c r="E1689" s="26" t="str">
        <f>VLOOKUP($A1689,MATMO,2,FALSE)</f>
        <v>Cargas Sociales Ayudante</v>
      </c>
      <c r="F1689" s="311">
        <f>+F1687</f>
        <v>0.1</v>
      </c>
      <c r="G1689" s="307" t="str">
        <f>VLOOKUP($A1689,MATMO,3,FALSE)</f>
        <v>hs</v>
      </c>
      <c r="H1689" s="110">
        <f>VLOOKUP($A1689,MATMO,4,FALSE)*$Q$7</f>
        <v>45.108248750000001</v>
      </c>
      <c r="I1689" s="354" t="str">
        <f t="shared" si="320"/>
        <v>hs</v>
      </c>
      <c r="J1689" s="350">
        <f t="shared" si="321"/>
        <v>4.510824875</v>
      </c>
      <c r="K1689" s="360" t="s">
        <v>2299</v>
      </c>
      <c r="L1689" s="20"/>
      <c r="O1689" s="27"/>
      <c r="P1689" s="110">
        <v>0</v>
      </c>
    </row>
    <row r="1690" spans="1:19" ht="16.5" thickBot="1">
      <c r="A1690" s="14" t="s">
        <v>83</v>
      </c>
      <c r="D1690" s="18">
        <v>5</v>
      </c>
      <c r="E1690" s="26" t="str">
        <f>VLOOKUP($A1690,MATMO,2,FALSE)</f>
        <v>-</v>
      </c>
      <c r="F1690" s="311"/>
      <c r="G1690" s="307" t="str">
        <f>VLOOKUP($A1690,MATMO,3,FALSE)</f>
        <v>-</v>
      </c>
      <c r="H1690" s="110">
        <f>VLOOKUP($A1690,MATMO,4,FALSE)*$Q$7</f>
        <v>0</v>
      </c>
      <c r="I1690" s="537" t="str">
        <f t="shared" si="320"/>
        <v>-</v>
      </c>
      <c r="J1690" s="538">
        <f t="shared" si="321"/>
        <v>0</v>
      </c>
      <c r="K1690" s="539" t="s">
        <v>2299</v>
      </c>
      <c r="L1690" s="20"/>
      <c r="O1690" s="27"/>
      <c r="P1690" s="110">
        <v>0</v>
      </c>
      <c r="R1690" s="29" t="s">
        <v>2307</v>
      </c>
    </row>
    <row r="1691" spans="1:19" ht="16.5" thickBot="1">
      <c r="A1691" s="14">
        <f>A1651+1</f>
        <v>36</v>
      </c>
      <c r="B1691" s="14" t="str">
        <f>"MO" &amp; TEXT(A1691,"##000")</f>
        <v>MO036</v>
      </c>
      <c r="D1691" s="18"/>
      <c r="E1691" s="591" t="s">
        <v>2301</v>
      </c>
      <c r="F1691" s="592"/>
      <c r="G1691" s="592"/>
      <c r="H1691" s="592"/>
      <c r="I1691" s="327"/>
      <c r="J1691" s="362">
        <f>SUM(J1686:J1690)</f>
        <v>36.228520499999995</v>
      </c>
      <c r="K1691" s="365" t="str">
        <f>+G1686</f>
        <v>hs</v>
      </c>
      <c r="L1691" s="20"/>
      <c r="N1691" s="111">
        <f>+P1691+R1691</f>
        <v>285</v>
      </c>
      <c r="O1691" s="27"/>
      <c r="P1691" s="27">
        <f>SUM(P1684:P1690)</f>
        <v>150</v>
      </c>
      <c r="Q1691" s="26">
        <v>0.9</v>
      </c>
      <c r="R1691" s="287">
        <f>+Q1691*P1691</f>
        <v>135</v>
      </c>
      <c r="S1691" s="288"/>
    </row>
    <row r="1692" spans="1:19">
      <c r="D1692" s="18"/>
      <c r="E1692" s="593" t="s">
        <v>101</v>
      </c>
      <c r="F1692" s="594"/>
      <c r="G1692" s="594"/>
      <c r="H1692" s="594"/>
      <c r="I1692" s="594"/>
      <c r="J1692" s="595"/>
      <c r="K1692" s="347"/>
      <c r="L1692" s="20"/>
      <c r="P1692" s="14" t="s">
        <v>2308</v>
      </c>
    </row>
    <row r="1693" spans="1:19">
      <c r="A1693" s="14" t="s">
        <v>119</v>
      </c>
      <c r="D1693" s="18">
        <v>1</v>
      </c>
      <c r="E1693" s="26" t="str">
        <f>VLOOKUP($A1693,MATMO,2,FALSE)</f>
        <v>Herramientas de Mano</v>
      </c>
      <c r="F1693" s="311">
        <v>1</v>
      </c>
      <c r="G1693" s="307" t="str">
        <f>VLOOKUP($A1693,MATMO,3,FALSE)</f>
        <v>gl</v>
      </c>
      <c r="H1693" s="110">
        <f>+(J1684+J1691)*$Q$5</f>
        <v>69.449140820000011</v>
      </c>
      <c r="I1693" s="345" t="str">
        <f>+G1693</f>
        <v>gl</v>
      </c>
      <c r="J1693" s="350">
        <f t="shared" ref="J1693:J1697" si="322">+H1693*F1693</f>
        <v>69.449140820000011</v>
      </c>
      <c r="K1693" s="360" t="s">
        <v>2299</v>
      </c>
      <c r="L1693" s="20"/>
      <c r="M1693" s="14" t="s">
        <v>2004</v>
      </c>
    </row>
    <row r="1694" spans="1:19">
      <c r="A1694" s="14" t="s">
        <v>118</v>
      </c>
      <c r="D1694" s="18">
        <v>2</v>
      </c>
      <c r="E1694" s="26" t="str">
        <f>VLOOKUP($A1694,MATMO,2,FALSE)</f>
        <v>-</v>
      </c>
      <c r="F1694" s="311"/>
      <c r="G1694" s="307" t="str">
        <f>VLOOKUP($A1694,MATMO,3,FALSE)</f>
        <v>-</v>
      </c>
      <c r="H1694" s="110">
        <f>VLOOKUP($A1694,MATMO,4,FALSE)*$Q$6</f>
        <v>0</v>
      </c>
      <c r="I1694" s="543" t="str">
        <f t="shared" ref="I1694:I1697" si="323">+G1694</f>
        <v>-</v>
      </c>
      <c r="J1694" s="538">
        <f t="shared" si="322"/>
        <v>0</v>
      </c>
      <c r="K1694" s="539" t="s">
        <v>2299</v>
      </c>
      <c r="L1694" s="20"/>
    </row>
    <row r="1695" spans="1:19">
      <c r="A1695" s="14" t="s">
        <v>118</v>
      </c>
      <c r="D1695" s="18">
        <v>3</v>
      </c>
      <c r="E1695" s="26" t="str">
        <f>VLOOKUP($A1695,MATMO,2,FALSE)</f>
        <v>-</v>
      </c>
      <c r="F1695" s="311"/>
      <c r="G1695" s="307" t="str">
        <f>VLOOKUP($A1695,MATMO,3,FALSE)</f>
        <v>-</v>
      </c>
      <c r="H1695" s="110">
        <f>VLOOKUP($A1695,MATMO,4,FALSE)*$Q$6</f>
        <v>0</v>
      </c>
      <c r="I1695" s="543" t="str">
        <f t="shared" si="323"/>
        <v>-</v>
      </c>
      <c r="J1695" s="538">
        <f t="shared" si="322"/>
        <v>0</v>
      </c>
      <c r="K1695" s="539" t="s">
        <v>2299</v>
      </c>
      <c r="L1695" s="20"/>
    </row>
    <row r="1696" spans="1:19">
      <c r="A1696" s="14" t="s">
        <v>118</v>
      </c>
      <c r="D1696" s="18">
        <v>4</v>
      </c>
      <c r="E1696" s="26" t="str">
        <f>VLOOKUP($A1696,MATMO,2,FALSE)</f>
        <v>-</v>
      </c>
      <c r="F1696" s="311"/>
      <c r="G1696" s="307" t="str">
        <f>VLOOKUP($A1696,MATMO,3,FALSE)</f>
        <v>-</v>
      </c>
      <c r="H1696" s="110">
        <f>VLOOKUP($A1696,MATMO,4,FALSE)*$Q$6</f>
        <v>0</v>
      </c>
      <c r="I1696" s="543" t="str">
        <f t="shared" si="323"/>
        <v>-</v>
      </c>
      <c r="J1696" s="538">
        <f t="shared" si="322"/>
        <v>0</v>
      </c>
      <c r="K1696" s="539" t="s">
        <v>2299</v>
      </c>
      <c r="L1696" s="20"/>
    </row>
    <row r="1697" spans="1:13">
      <c r="A1697" s="14" t="s">
        <v>118</v>
      </c>
      <c r="D1697" s="18">
        <v>5</v>
      </c>
      <c r="E1697" s="26" t="str">
        <f>VLOOKUP($A1697,MATMO,2,FALSE)</f>
        <v>-</v>
      </c>
      <c r="F1697" s="311"/>
      <c r="G1697" s="307" t="str">
        <f>VLOOKUP($A1697,MATMO,3,FALSE)</f>
        <v>-</v>
      </c>
      <c r="H1697" s="110">
        <f>VLOOKUP($A1697,MATMO,4,FALSE)*$Q$6</f>
        <v>0</v>
      </c>
      <c r="I1697" s="543" t="str">
        <f t="shared" si="323"/>
        <v>-</v>
      </c>
      <c r="J1697" s="538">
        <f t="shared" si="322"/>
        <v>0</v>
      </c>
      <c r="K1697" s="539" t="s">
        <v>2299</v>
      </c>
      <c r="L1697" s="20"/>
    </row>
    <row r="1698" spans="1:13">
      <c r="A1698" s="14">
        <f>A1651+1</f>
        <v>36</v>
      </c>
      <c r="B1698" s="14" t="str">
        <f>"E" &amp; TEXT(A1698,"##000")</f>
        <v>E036</v>
      </c>
      <c r="D1698" s="18"/>
      <c r="E1698" s="591" t="s">
        <v>2300</v>
      </c>
      <c r="F1698" s="592"/>
      <c r="G1698" s="592"/>
      <c r="H1698" s="592"/>
      <c r="I1698" s="327"/>
      <c r="J1698" s="362">
        <f>SUM(J1693:J1697)</f>
        <v>69.449140820000011</v>
      </c>
      <c r="K1698" s="365" t="s">
        <v>116</v>
      </c>
      <c r="L1698" s="20"/>
    </row>
    <row r="1699" spans="1:13">
      <c r="D1699" s="18"/>
      <c r="E1699" s="596"/>
      <c r="F1699" s="597"/>
      <c r="G1699" s="597"/>
      <c r="H1699" s="597"/>
      <c r="I1699" s="597"/>
      <c r="J1699" s="598"/>
      <c r="K1699" s="348"/>
      <c r="L1699" s="20"/>
    </row>
    <row r="1700" spans="1:13">
      <c r="D1700" s="18"/>
      <c r="E1700" s="591" t="s">
        <v>2306</v>
      </c>
      <c r="F1700" s="592"/>
      <c r="G1700" s="592"/>
      <c r="H1700" s="592"/>
      <c r="I1700" s="327"/>
      <c r="J1700" s="308">
        <f>+J1698+J1691+J1684</f>
        <v>1805.67766132</v>
      </c>
      <c r="K1700" s="365" t="str">
        <f>+F1661</f>
        <v>ud</v>
      </c>
      <c r="L1700" s="20"/>
    </row>
    <row r="1701" spans="1:13">
      <c r="D1701" s="18"/>
      <c r="E1701" s="591" t="s">
        <v>2305</v>
      </c>
      <c r="F1701" s="592"/>
      <c r="G1701" s="592"/>
      <c r="H1701" s="592"/>
      <c r="I1701" s="406">
        <f>+$Q$9</f>
        <v>1.6902999999999999</v>
      </c>
      <c r="J1701" s="308">
        <f>+$Q$9*J1700</f>
        <v>3052.1369509291958</v>
      </c>
      <c r="K1701" s="365" t="str">
        <f>+F1661</f>
        <v>ud</v>
      </c>
      <c r="L1701" s="20"/>
    </row>
    <row r="1702" spans="1:13">
      <c r="A1702" s="14">
        <f>A1655+1</f>
        <v>36</v>
      </c>
      <c r="B1702" s="14" t="str">
        <f>"TR" &amp; TEXT(A1702,"##000")</f>
        <v>TR036</v>
      </c>
      <c r="C1702" s="14">
        <f>+C1655+1</f>
        <v>36</v>
      </c>
      <c r="D1702" s="18"/>
      <c r="E1702" s="591" t="s">
        <v>2304</v>
      </c>
      <c r="F1702" s="592"/>
      <c r="G1702" s="592"/>
      <c r="H1702" s="592"/>
      <c r="I1702" s="327"/>
      <c r="J1702" s="308">
        <f>+J1701</f>
        <v>3052.1369509291958</v>
      </c>
      <c r="K1702" s="365" t="str">
        <f>+F1661</f>
        <v>ud</v>
      </c>
      <c r="L1702" s="20"/>
    </row>
    <row r="1703" spans="1:13" ht="16.5" thickBot="1">
      <c r="D1703" s="21"/>
      <c r="E1703" s="30"/>
      <c r="F1703" s="30"/>
      <c r="G1703" s="30"/>
      <c r="H1703" s="30"/>
      <c r="I1703" s="30"/>
      <c r="J1703" s="30"/>
      <c r="K1703" s="349"/>
      <c r="L1703" s="22"/>
    </row>
    <row r="1704" spans="1:13" ht="16.5" thickTop="1">
      <c r="D1704" s="15"/>
      <c r="E1704" s="16"/>
      <c r="F1704" s="16"/>
      <c r="G1704" s="16"/>
      <c r="H1704" s="16"/>
      <c r="I1704" s="16"/>
      <c r="J1704" s="16"/>
      <c r="K1704" s="16"/>
      <c r="L1704" s="17"/>
    </row>
    <row r="1705" spans="1:13">
      <c r="A1705" s="14" t="s">
        <v>1889</v>
      </c>
      <c r="D1705" s="18"/>
      <c r="E1705" s="23" t="s">
        <v>95</v>
      </c>
      <c r="F1705" s="24" t="str">
        <f>VLOOKUP($A1705,DATRUB,3,FALSE)</f>
        <v>RUBRO X:</v>
      </c>
      <c r="G1705" s="599" t="str">
        <f>VLOOKUP($A1705,DATRUB,4,FALSE)</f>
        <v>CARPINTERÍA de MADERA</v>
      </c>
      <c r="H1705" s="599"/>
      <c r="I1705" s="599"/>
      <c r="J1705" s="599"/>
      <c r="K1705" s="599"/>
      <c r="L1705" s="20"/>
    </row>
    <row r="1706" spans="1:13" ht="35.1" customHeight="1">
      <c r="A1706" s="14" t="s">
        <v>1859</v>
      </c>
      <c r="D1706" s="18"/>
      <c r="E1706" s="23" t="s">
        <v>96</v>
      </c>
      <c r="F1706" s="399">
        <f>VLOOKUP($A1706,DATRUB,3,FALSE)</f>
        <v>10.199999999999999</v>
      </c>
      <c r="G1706" s="599" t="str">
        <f>VLOOKUP($A1706,DATRUB,4,FALSE)</f>
        <v>P2 : 0,95 x 2,05 Hoja (Acceso baños)</v>
      </c>
      <c r="H1706" s="599"/>
      <c r="I1706" s="599"/>
      <c r="J1706" s="599"/>
      <c r="K1706" s="599"/>
      <c r="L1706" s="20"/>
    </row>
    <row r="1707" spans="1:13" ht="35.1" customHeight="1">
      <c r="A1707" s="14" t="s">
        <v>1859</v>
      </c>
      <c r="D1707" s="18"/>
      <c r="E1707" s="23" t="s">
        <v>97</v>
      </c>
      <c r="F1707" s="399">
        <f>VLOOKUP($A1707,DATRUB,3,FALSE)</f>
        <v>10.199999999999999</v>
      </c>
      <c r="G1707" s="599" t="str">
        <f>VLOOKUP($A1707,DATRUB,4,FALSE)</f>
        <v>P2 : 0,95 x 2,05 Hoja (Acceso baños)</v>
      </c>
      <c r="H1707" s="599"/>
      <c r="I1707" s="599"/>
      <c r="J1707" s="599"/>
      <c r="K1707" s="599"/>
      <c r="L1707" s="20"/>
    </row>
    <row r="1708" spans="1:13">
      <c r="D1708" s="18"/>
      <c r="E1708" s="23" t="s">
        <v>98</v>
      </c>
      <c r="F1708" s="24" t="str">
        <f>VLOOKUP($A1707,DATRUB,5,FALSE)</f>
        <v>ud</v>
      </c>
      <c r="G1708" s="600"/>
      <c r="H1708" s="600"/>
      <c r="I1708" s="600"/>
      <c r="J1708" s="600"/>
      <c r="K1708" s="600"/>
      <c r="L1708" s="20"/>
    </row>
    <row r="1709" spans="1:13">
      <c r="D1709" s="18"/>
      <c r="E1709" s="24" t="s">
        <v>1158</v>
      </c>
      <c r="F1709" s="25" t="s">
        <v>1250</v>
      </c>
      <c r="G1709" s="24" t="s">
        <v>24</v>
      </c>
      <c r="H1709" s="24" t="s">
        <v>25</v>
      </c>
      <c r="I1709" s="24" t="s">
        <v>24</v>
      </c>
      <c r="J1709" s="24" t="s">
        <v>2298</v>
      </c>
      <c r="K1709" s="24" t="s">
        <v>24</v>
      </c>
      <c r="L1709" s="20"/>
    </row>
    <row r="1710" spans="1:13">
      <c r="D1710" s="18"/>
      <c r="E1710" s="593" t="s">
        <v>99</v>
      </c>
      <c r="F1710" s="594"/>
      <c r="G1710" s="594"/>
      <c r="H1710" s="594"/>
      <c r="I1710" s="594"/>
      <c r="J1710" s="594"/>
      <c r="K1710" s="595"/>
      <c r="L1710" s="20"/>
    </row>
    <row r="1711" spans="1:13">
      <c r="A1711" s="14" t="s">
        <v>2436</v>
      </c>
      <c r="D1711" s="18">
        <v>1</v>
      </c>
      <c r="E1711" s="355" t="str">
        <f t="shared" ref="E1711:E1730" si="324">VLOOKUP($A1711,MATMO,2,FALSE)</f>
        <v>P2 : 0,95 x 2,05 Hoja (Acceso baños)</v>
      </c>
      <c r="F1711" s="356">
        <v>1</v>
      </c>
      <c r="G1711" s="357" t="str">
        <f t="shared" ref="G1711:G1730" si="325">VLOOKUP($A1711,MATMO,3,FALSE)</f>
        <v>un</v>
      </c>
      <c r="H1711" s="358">
        <f t="shared" ref="H1711:H1730" si="326">VLOOKUP($A1711,MATMO,4,FALSE)*$Q$6</f>
        <v>1700</v>
      </c>
      <c r="I1711" s="359" t="str">
        <f t="shared" ref="I1711:I1730" si="327">+G1711</f>
        <v>un</v>
      </c>
      <c r="J1711" s="361">
        <f>+H1711*F1711</f>
        <v>1700</v>
      </c>
      <c r="K1711" s="360" t="s">
        <v>2299</v>
      </c>
      <c r="L1711" s="20"/>
      <c r="M1711" s="14" t="s">
        <v>2005</v>
      </c>
    </row>
    <row r="1712" spans="1:13">
      <c r="A1712" s="14" t="s">
        <v>31</v>
      </c>
      <c r="D1712" s="18">
        <v>2</v>
      </c>
      <c r="E1712" s="26" t="str">
        <f t="shared" si="324"/>
        <v>-</v>
      </c>
      <c r="F1712" s="311"/>
      <c r="G1712" s="307" t="str">
        <f t="shared" si="325"/>
        <v>-</v>
      </c>
      <c r="H1712" s="351">
        <f t="shared" si="326"/>
        <v>0</v>
      </c>
      <c r="I1712" s="537" t="str">
        <f t="shared" si="327"/>
        <v>-</v>
      </c>
      <c r="J1712" s="538">
        <f t="shared" ref="J1712:J1730" si="328">+H1712*F1712</f>
        <v>0</v>
      </c>
      <c r="K1712" s="539" t="s">
        <v>2299</v>
      </c>
      <c r="L1712" s="20"/>
    </row>
    <row r="1713" spans="1:12">
      <c r="A1713" s="14" t="s">
        <v>31</v>
      </c>
      <c r="D1713" s="18">
        <v>3</v>
      </c>
      <c r="E1713" s="26" t="str">
        <f t="shared" si="324"/>
        <v>-</v>
      </c>
      <c r="F1713" s="311"/>
      <c r="G1713" s="307" t="str">
        <f t="shared" si="325"/>
        <v>-</v>
      </c>
      <c r="H1713" s="351">
        <f t="shared" si="326"/>
        <v>0</v>
      </c>
      <c r="I1713" s="537" t="str">
        <f t="shared" si="327"/>
        <v>-</v>
      </c>
      <c r="J1713" s="538">
        <f t="shared" si="328"/>
        <v>0</v>
      </c>
      <c r="K1713" s="539" t="s">
        <v>2299</v>
      </c>
      <c r="L1713" s="20"/>
    </row>
    <row r="1714" spans="1:12">
      <c r="A1714" s="14" t="s">
        <v>31</v>
      </c>
      <c r="D1714" s="18">
        <v>4</v>
      </c>
      <c r="E1714" s="26" t="str">
        <f t="shared" si="324"/>
        <v>-</v>
      </c>
      <c r="F1714" s="311"/>
      <c r="G1714" s="307" t="str">
        <f t="shared" si="325"/>
        <v>-</v>
      </c>
      <c r="H1714" s="351">
        <f t="shared" si="326"/>
        <v>0</v>
      </c>
      <c r="I1714" s="537" t="str">
        <f t="shared" si="327"/>
        <v>-</v>
      </c>
      <c r="J1714" s="538">
        <f t="shared" si="328"/>
        <v>0</v>
      </c>
      <c r="K1714" s="539" t="s">
        <v>2299</v>
      </c>
      <c r="L1714" s="20"/>
    </row>
    <row r="1715" spans="1:12">
      <c r="A1715" s="14" t="s">
        <v>31</v>
      </c>
      <c r="D1715" s="18">
        <v>5</v>
      </c>
      <c r="E1715" s="26" t="str">
        <f t="shared" si="324"/>
        <v>-</v>
      </c>
      <c r="F1715" s="311"/>
      <c r="G1715" s="307" t="str">
        <f t="shared" si="325"/>
        <v>-</v>
      </c>
      <c r="H1715" s="351">
        <f t="shared" si="326"/>
        <v>0</v>
      </c>
      <c r="I1715" s="537" t="str">
        <f t="shared" si="327"/>
        <v>-</v>
      </c>
      <c r="J1715" s="538">
        <f t="shared" si="328"/>
        <v>0</v>
      </c>
      <c r="K1715" s="539" t="s">
        <v>2299</v>
      </c>
      <c r="L1715" s="20"/>
    </row>
    <row r="1716" spans="1:12">
      <c r="A1716" s="14" t="s">
        <v>31</v>
      </c>
      <c r="D1716" s="18">
        <v>6</v>
      </c>
      <c r="E1716" s="26" t="str">
        <f t="shared" si="324"/>
        <v>-</v>
      </c>
      <c r="F1716" s="311"/>
      <c r="G1716" s="307" t="str">
        <f t="shared" si="325"/>
        <v>-</v>
      </c>
      <c r="H1716" s="351">
        <f t="shared" si="326"/>
        <v>0</v>
      </c>
      <c r="I1716" s="537" t="str">
        <f t="shared" si="327"/>
        <v>-</v>
      </c>
      <c r="J1716" s="538">
        <f t="shared" si="328"/>
        <v>0</v>
      </c>
      <c r="K1716" s="539" t="s">
        <v>2299</v>
      </c>
      <c r="L1716" s="20"/>
    </row>
    <row r="1717" spans="1:12">
      <c r="A1717" s="14" t="s">
        <v>31</v>
      </c>
      <c r="D1717" s="18">
        <v>7</v>
      </c>
      <c r="E1717" s="26" t="str">
        <f t="shared" si="324"/>
        <v>-</v>
      </c>
      <c r="F1717" s="311"/>
      <c r="G1717" s="307" t="str">
        <f t="shared" si="325"/>
        <v>-</v>
      </c>
      <c r="H1717" s="351">
        <f t="shared" si="326"/>
        <v>0</v>
      </c>
      <c r="I1717" s="537" t="str">
        <f t="shared" si="327"/>
        <v>-</v>
      </c>
      <c r="J1717" s="538">
        <f t="shared" si="328"/>
        <v>0</v>
      </c>
      <c r="K1717" s="539" t="s">
        <v>2299</v>
      </c>
      <c r="L1717" s="20"/>
    </row>
    <row r="1718" spans="1:12">
      <c r="A1718" s="14" t="s">
        <v>31</v>
      </c>
      <c r="D1718" s="18">
        <v>8</v>
      </c>
      <c r="E1718" s="26" t="str">
        <f t="shared" si="324"/>
        <v>-</v>
      </c>
      <c r="F1718" s="311"/>
      <c r="G1718" s="307" t="str">
        <f t="shared" si="325"/>
        <v>-</v>
      </c>
      <c r="H1718" s="351">
        <f t="shared" si="326"/>
        <v>0</v>
      </c>
      <c r="I1718" s="537" t="str">
        <f t="shared" si="327"/>
        <v>-</v>
      </c>
      <c r="J1718" s="538">
        <f t="shared" si="328"/>
        <v>0</v>
      </c>
      <c r="K1718" s="539" t="s">
        <v>2299</v>
      </c>
      <c r="L1718" s="20"/>
    </row>
    <row r="1719" spans="1:12">
      <c r="A1719" s="14" t="s">
        <v>31</v>
      </c>
      <c r="D1719" s="18">
        <v>9</v>
      </c>
      <c r="E1719" s="26" t="str">
        <f t="shared" si="324"/>
        <v>-</v>
      </c>
      <c r="F1719" s="311"/>
      <c r="G1719" s="307" t="str">
        <f t="shared" si="325"/>
        <v>-</v>
      </c>
      <c r="H1719" s="351">
        <f t="shared" si="326"/>
        <v>0</v>
      </c>
      <c r="I1719" s="537" t="str">
        <f t="shared" si="327"/>
        <v>-</v>
      </c>
      <c r="J1719" s="538">
        <f t="shared" si="328"/>
        <v>0</v>
      </c>
      <c r="K1719" s="539" t="s">
        <v>2299</v>
      </c>
      <c r="L1719" s="20"/>
    </row>
    <row r="1720" spans="1:12">
      <c r="A1720" s="14" t="s">
        <v>31</v>
      </c>
      <c r="D1720" s="18">
        <v>10</v>
      </c>
      <c r="E1720" s="26" t="str">
        <f t="shared" si="324"/>
        <v>-</v>
      </c>
      <c r="F1720" s="311"/>
      <c r="G1720" s="307" t="str">
        <f t="shared" si="325"/>
        <v>-</v>
      </c>
      <c r="H1720" s="351">
        <f t="shared" si="326"/>
        <v>0</v>
      </c>
      <c r="I1720" s="537" t="str">
        <f t="shared" si="327"/>
        <v>-</v>
      </c>
      <c r="J1720" s="538">
        <f t="shared" si="328"/>
        <v>0</v>
      </c>
      <c r="K1720" s="539" t="s">
        <v>2299</v>
      </c>
      <c r="L1720" s="20"/>
    </row>
    <row r="1721" spans="1:12">
      <c r="A1721" s="14" t="s">
        <v>31</v>
      </c>
      <c r="D1721" s="18">
        <v>11</v>
      </c>
      <c r="E1721" s="26" t="str">
        <f t="shared" si="324"/>
        <v>-</v>
      </c>
      <c r="F1721" s="311"/>
      <c r="G1721" s="307" t="str">
        <f t="shared" si="325"/>
        <v>-</v>
      </c>
      <c r="H1721" s="351">
        <f t="shared" si="326"/>
        <v>0</v>
      </c>
      <c r="I1721" s="537" t="str">
        <f t="shared" si="327"/>
        <v>-</v>
      </c>
      <c r="J1721" s="538">
        <f t="shared" si="328"/>
        <v>0</v>
      </c>
      <c r="K1721" s="539" t="s">
        <v>2299</v>
      </c>
      <c r="L1721" s="20"/>
    </row>
    <row r="1722" spans="1:12">
      <c r="A1722" s="14" t="s">
        <v>31</v>
      </c>
      <c r="D1722" s="18">
        <v>12</v>
      </c>
      <c r="E1722" s="26" t="str">
        <f t="shared" si="324"/>
        <v>-</v>
      </c>
      <c r="F1722" s="311"/>
      <c r="G1722" s="307" t="str">
        <f t="shared" si="325"/>
        <v>-</v>
      </c>
      <c r="H1722" s="352">
        <f t="shared" si="326"/>
        <v>0</v>
      </c>
      <c r="I1722" s="537" t="str">
        <f t="shared" si="327"/>
        <v>-</v>
      </c>
      <c r="J1722" s="538">
        <f t="shared" si="328"/>
        <v>0</v>
      </c>
      <c r="K1722" s="539" t="s">
        <v>2299</v>
      </c>
      <c r="L1722" s="20"/>
    </row>
    <row r="1723" spans="1:12">
      <c r="A1723" s="14" t="s">
        <v>31</v>
      </c>
      <c r="D1723" s="18">
        <v>13</v>
      </c>
      <c r="E1723" s="26" t="str">
        <f t="shared" si="324"/>
        <v>-</v>
      </c>
      <c r="F1723" s="311"/>
      <c r="G1723" s="307" t="str">
        <f t="shared" si="325"/>
        <v>-</v>
      </c>
      <c r="H1723" s="352">
        <f t="shared" si="326"/>
        <v>0</v>
      </c>
      <c r="I1723" s="537" t="str">
        <f t="shared" si="327"/>
        <v>-</v>
      </c>
      <c r="J1723" s="538">
        <f t="shared" si="328"/>
        <v>0</v>
      </c>
      <c r="K1723" s="539" t="s">
        <v>2299</v>
      </c>
      <c r="L1723" s="20"/>
    </row>
    <row r="1724" spans="1:12">
      <c r="A1724" s="14" t="s">
        <v>31</v>
      </c>
      <c r="D1724" s="18">
        <v>14</v>
      </c>
      <c r="E1724" s="26" t="str">
        <f t="shared" si="324"/>
        <v>-</v>
      </c>
      <c r="F1724" s="311"/>
      <c r="G1724" s="307" t="str">
        <f t="shared" si="325"/>
        <v>-</v>
      </c>
      <c r="H1724" s="352">
        <f t="shared" si="326"/>
        <v>0</v>
      </c>
      <c r="I1724" s="537" t="str">
        <f t="shared" si="327"/>
        <v>-</v>
      </c>
      <c r="J1724" s="538">
        <f t="shared" si="328"/>
        <v>0</v>
      </c>
      <c r="K1724" s="539" t="s">
        <v>2299</v>
      </c>
      <c r="L1724" s="20"/>
    </row>
    <row r="1725" spans="1:12">
      <c r="A1725" s="14" t="s">
        <v>31</v>
      </c>
      <c r="D1725" s="18">
        <v>15</v>
      </c>
      <c r="E1725" s="26" t="str">
        <f t="shared" si="324"/>
        <v>-</v>
      </c>
      <c r="F1725" s="311"/>
      <c r="G1725" s="307" t="str">
        <f t="shared" si="325"/>
        <v>-</v>
      </c>
      <c r="H1725" s="352">
        <f t="shared" si="326"/>
        <v>0</v>
      </c>
      <c r="I1725" s="537" t="str">
        <f t="shared" si="327"/>
        <v>-</v>
      </c>
      <c r="J1725" s="538">
        <f t="shared" si="328"/>
        <v>0</v>
      </c>
      <c r="K1725" s="539" t="s">
        <v>2299</v>
      </c>
      <c r="L1725" s="20"/>
    </row>
    <row r="1726" spans="1:12">
      <c r="A1726" s="14" t="s">
        <v>31</v>
      </c>
      <c r="D1726" s="18">
        <v>16</v>
      </c>
      <c r="E1726" s="26" t="str">
        <f t="shared" si="324"/>
        <v>-</v>
      </c>
      <c r="F1726" s="311"/>
      <c r="G1726" s="307" t="str">
        <f t="shared" si="325"/>
        <v>-</v>
      </c>
      <c r="H1726" s="352">
        <f t="shared" si="326"/>
        <v>0</v>
      </c>
      <c r="I1726" s="537" t="str">
        <f t="shared" si="327"/>
        <v>-</v>
      </c>
      <c r="J1726" s="538">
        <f t="shared" si="328"/>
        <v>0</v>
      </c>
      <c r="K1726" s="539" t="s">
        <v>2299</v>
      </c>
      <c r="L1726" s="20"/>
    </row>
    <row r="1727" spans="1:12">
      <c r="A1727" s="14" t="s">
        <v>31</v>
      </c>
      <c r="D1727" s="18">
        <v>17</v>
      </c>
      <c r="E1727" s="26" t="str">
        <f t="shared" si="324"/>
        <v>-</v>
      </c>
      <c r="F1727" s="311"/>
      <c r="G1727" s="307" t="str">
        <f t="shared" si="325"/>
        <v>-</v>
      </c>
      <c r="H1727" s="352">
        <f t="shared" si="326"/>
        <v>0</v>
      </c>
      <c r="I1727" s="537" t="str">
        <f t="shared" si="327"/>
        <v>-</v>
      </c>
      <c r="J1727" s="538">
        <f t="shared" si="328"/>
        <v>0</v>
      </c>
      <c r="K1727" s="539" t="s">
        <v>2299</v>
      </c>
      <c r="L1727" s="20"/>
    </row>
    <row r="1728" spans="1:12">
      <c r="A1728" s="14" t="s">
        <v>31</v>
      </c>
      <c r="D1728" s="18">
        <v>18</v>
      </c>
      <c r="E1728" s="26" t="str">
        <f t="shared" si="324"/>
        <v>-</v>
      </c>
      <c r="F1728" s="311"/>
      <c r="G1728" s="307" t="str">
        <f t="shared" si="325"/>
        <v>-</v>
      </c>
      <c r="H1728" s="352">
        <f t="shared" si="326"/>
        <v>0</v>
      </c>
      <c r="I1728" s="537" t="str">
        <f t="shared" si="327"/>
        <v>-</v>
      </c>
      <c r="J1728" s="538">
        <f t="shared" si="328"/>
        <v>0</v>
      </c>
      <c r="K1728" s="539" t="s">
        <v>2299</v>
      </c>
      <c r="L1728" s="20"/>
    </row>
    <row r="1729" spans="1:19">
      <c r="A1729" s="14" t="s">
        <v>31</v>
      </c>
      <c r="D1729" s="18">
        <v>19</v>
      </c>
      <c r="E1729" s="26" t="str">
        <f t="shared" si="324"/>
        <v>-</v>
      </c>
      <c r="F1729" s="311"/>
      <c r="G1729" s="307" t="str">
        <f t="shared" si="325"/>
        <v>-</v>
      </c>
      <c r="H1729" s="352">
        <f t="shared" si="326"/>
        <v>0</v>
      </c>
      <c r="I1729" s="537" t="str">
        <f t="shared" si="327"/>
        <v>-</v>
      </c>
      <c r="J1729" s="538">
        <f t="shared" si="328"/>
        <v>0</v>
      </c>
      <c r="K1729" s="539" t="s">
        <v>2299</v>
      </c>
      <c r="L1729" s="20"/>
    </row>
    <row r="1730" spans="1:19">
      <c r="A1730" s="14" t="s">
        <v>31</v>
      </c>
      <c r="D1730" s="18">
        <v>20</v>
      </c>
      <c r="E1730" s="26" t="str">
        <f t="shared" si="324"/>
        <v>-</v>
      </c>
      <c r="F1730" s="311"/>
      <c r="G1730" s="307" t="str">
        <f t="shared" si="325"/>
        <v>-</v>
      </c>
      <c r="H1730" s="352">
        <f t="shared" si="326"/>
        <v>0</v>
      </c>
      <c r="I1730" s="537" t="str">
        <f t="shared" si="327"/>
        <v>-</v>
      </c>
      <c r="J1730" s="541">
        <f t="shared" si="328"/>
        <v>0</v>
      </c>
      <c r="K1730" s="539" t="s">
        <v>2299</v>
      </c>
      <c r="L1730" s="20"/>
    </row>
    <row r="1731" spans="1:19">
      <c r="A1731" s="14">
        <f>A1698+1</f>
        <v>37</v>
      </c>
      <c r="B1731" s="14" t="str">
        <f>"MA" &amp; TEXT(A1731,"##000")</f>
        <v>MA037</v>
      </c>
      <c r="D1731" s="18"/>
      <c r="E1731" s="591" t="s">
        <v>2302</v>
      </c>
      <c r="F1731" s="592"/>
      <c r="G1731" s="592"/>
      <c r="H1731" s="592"/>
      <c r="I1731" s="327"/>
      <c r="J1731" s="353">
        <f>SUM(J1711:J1730)</f>
        <v>1700</v>
      </c>
      <c r="K1731" s="365" t="str">
        <f>+F1708</f>
        <v>ud</v>
      </c>
      <c r="L1731" s="20"/>
      <c r="O1731" s="27" t="s">
        <v>1525</v>
      </c>
      <c r="P1731" s="110">
        <v>0</v>
      </c>
    </row>
    <row r="1732" spans="1:19">
      <c r="D1732" s="18"/>
      <c r="E1732" s="593" t="s">
        <v>100</v>
      </c>
      <c r="F1732" s="594"/>
      <c r="G1732" s="594"/>
      <c r="H1732" s="594"/>
      <c r="I1732" s="594"/>
      <c r="J1732" s="595"/>
      <c r="K1732" s="347"/>
      <c r="L1732" s="20"/>
      <c r="O1732" s="27" t="s">
        <v>1524</v>
      </c>
      <c r="P1732" s="110">
        <v>0</v>
      </c>
    </row>
    <row r="1733" spans="1:19">
      <c r="A1733" s="14" t="s">
        <v>84</v>
      </c>
      <c r="D1733" s="18">
        <v>1</v>
      </c>
      <c r="E1733" s="26" t="str">
        <f>VLOOKUP($A1733,MATMO,2,FALSE)</f>
        <v>Oficial</v>
      </c>
      <c r="F1733" s="311">
        <v>0.25</v>
      </c>
      <c r="G1733" s="307" t="str">
        <f>VLOOKUP($A1733,MATMO,3,FALSE)</f>
        <v>hs</v>
      </c>
      <c r="H1733" s="110">
        <f>VLOOKUP($A1733,MATMO,4,FALSE)*$Q$7</f>
        <v>55.38</v>
      </c>
      <c r="I1733" s="354" t="str">
        <f t="shared" ref="I1733:I1737" si="329">+G1733</f>
        <v>hs</v>
      </c>
      <c r="J1733" s="350">
        <f t="shared" ref="J1733:J1737" si="330">+H1733*F1733</f>
        <v>13.845000000000001</v>
      </c>
      <c r="K1733" s="360" t="s">
        <v>2299</v>
      </c>
      <c r="L1733" s="20"/>
      <c r="M1733" s="14" t="s">
        <v>2006</v>
      </c>
      <c r="O1733" s="27" t="s">
        <v>1526</v>
      </c>
      <c r="P1733" s="110">
        <v>0</v>
      </c>
    </row>
    <row r="1734" spans="1:19">
      <c r="A1734" s="14" t="s">
        <v>85</v>
      </c>
      <c r="D1734" s="18">
        <v>2</v>
      </c>
      <c r="E1734" s="26" t="str">
        <f>VLOOKUP($A1734,MATMO,2,FALSE)</f>
        <v>Ayudante</v>
      </c>
      <c r="F1734" s="311">
        <v>0.1</v>
      </c>
      <c r="G1734" s="307" t="str">
        <f>VLOOKUP($A1734,MATMO,3,FALSE)</f>
        <v>hs</v>
      </c>
      <c r="H1734" s="110">
        <f>VLOOKUP($A1734,MATMO,4,FALSE)*$Q$7</f>
        <v>46.87</v>
      </c>
      <c r="I1734" s="354" t="str">
        <f t="shared" si="329"/>
        <v>hs</v>
      </c>
      <c r="J1734" s="350">
        <f t="shared" si="330"/>
        <v>4.6870000000000003</v>
      </c>
      <c r="K1734" s="360" t="s">
        <v>2299</v>
      </c>
      <c r="L1734" s="20"/>
      <c r="O1734" s="27" t="s">
        <v>1527</v>
      </c>
      <c r="P1734" s="110">
        <v>0</v>
      </c>
    </row>
    <row r="1735" spans="1:19">
      <c r="A1735" s="14" t="s">
        <v>2311</v>
      </c>
      <c r="D1735" s="18">
        <v>3</v>
      </c>
      <c r="E1735" s="26" t="str">
        <f>VLOOKUP($A1735,MATMO,2,FALSE)</f>
        <v>Cargas Sociales Oficial</v>
      </c>
      <c r="F1735" s="311">
        <f>+F1733</f>
        <v>0.25</v>
      </c>
      <c r="G1735" s="307" t="str">
        <f>VLOOKUP($A1735,MATMO,3,FALSE)</f>
        <v>hs</v>
      </c>
      <c r="H1735" s="110">
        <f>VLOOKUP($A1735,MATMO,4,FALSE)*$Q$7</f>
        <v>52.742782499999997</v>
      </c>
      <c r="I1735" s="354" t="str">
        <f t="shared" si="329"/>
        <v>hs</v>
      </c>
      <c r="J1735" s="350">
        <f t="shared" si="330"/>
        <v>13.185695624999999</v>
      </c>
      <c r="K1735" s="360" t="s">
        <v>2299</v>
      </c>
      <c r="L1735" s="20"/>
      <c r="O1735" s="27"/>
      <c r="P1735" s="110">
        <v>0</v>
      </c>
    </row>
    <row r="1736" spans="1:19">
      <c r="A1736" s="14" t="s">
        <v>2312</v>
      </c>
      <c r="D1736" s="18">
        <v>4</v>
      </c>
      <c r="E1736" s="26" t="str">
        <f>VLOOKUP($A1736,MATMO,2,FALSE)</f>
        <v>Cargas Sociales Ayudante</v>
      </c>
      <c r="F1736" s="311">
        <f>+F1734</f>
        <v>0.1</v>
      </c>
      <c r="G1736" s="307" t="str">
        <f>VLOOKUP($A1736,MATMO,3,FALSE)</f>
        <v>hs</v>
      </c>
      <c r="H1736" s="110">
        <f>VLOOKUP($A1736,MATMO,4,FALSE)*$Q$7</f>
        <v>45.108248750000001</v>
      </c>
      <c r="I1736" s="354" t="str">
        <f t="shared" si="329"/>
        <v>hs</v>
      </c>
      <c r="J1736" s="350">
        <f t="shared" si="330"/>
        <v>4.510824875</v>
      </c>
      <c r="K1736" s="360" t="s">
        <v>2299</v>
      </c>
      <c r="L1736" s="20"/>
      <c r="O1736" s="27"/>
      <c r="P1736" s="110">
        <v>0</v>
      </c>
    </row>
    <row r="1737" spans="1:19" ht="16.5" thickBot="1">
      <c r="A1737" s="14" t="s">
        <v>83</v>
      </c>
      <c r="D1737" s="18">
        <v>5</v>
      </c>
      <c r="E1737" s="26" t="str">
        <f>VLOOKUP($A1737,MATMO,2,FALSE)</f>
        <v>-</v>
      </c>
      <c r="F1737" s="311"/>
      <c r="G1737" s="307" t="str">
        <f>VLOOKUP($A1737,MATMO,3,FALSE)</f>
        <v>-</v>
      </c>
      <c r="H1737" s="110">
        <f>VLOOKUP($A1737,MATMO,4,FALSE)*$Q$7</f>
        <v>0</v>
      </c>
      <c r="I1737" s="537" t="str">
        <f t="shared" si="329"/>
        <v>-</v>
      </c>
      <c r="J1737" s="538">
        <f t="shared" si="330"/>
        <v>0</v>
      </c>
      <c r="K1737" s="539" t="s">
        <v>2299</v>
      </c>
      <c r="L1737" s="20"/>
      <c r="O1737" s="27"/>
      <c r="P1737" s="110">
        <v>0</v>
      </c>
      <c r="R1737" s="29" t="s">
        <v>2307</v>
      </c>
    </row>
    <row r="1738" spans="1:19" ht="16.5" thickBot="1">
      <c r="A1738" s="14">
        <f>A1698+1</f>
        <v>37</v>
      </c>
      <c r="B1738" s="14" t="str">
        <f>"MO" &amp; TEXT(A1738,"##000")</f>
        <v>MO037</v>
      </c>
      <c r="D1738" s="18"/>
      <c r="E1738" s="591" t="s">
        <v>2301</v>
      </c>
      <c r="F1738" s="592"/>
      <c r="G1738" s="592"/>
      <c r="H1738" s="592"/>
      <c r="I1738" s="327"/>
      <c r="J1738" s="362">
        <f>SUM(J1733:J1737)</f>
        <v>36.228520499999995</v>
      </c>
      <c r="K1738" s="365" t="str">
        <f>+G1733</f>
        <v>hs</v>
      </c>
      <c r="L1738" s="20"/>
      <c r="N1738" s="111">
        <f>+P1738+R1738</f>
        <v>0</v>
      </c>
      <c r="O1738" s="27"/>
      <c r="P1738" s="27">
        <f>SUM(P1731:P1737)</f>
        <v>0</v>
      </c>
      <c r="Q1738" s="26">
        <v>0.9</v>
      </c>
      <c r="R1738" s="287">
        <f>+Q1738*P1738</f>
        <v>0</v>
      </c>
      <c r="S1738" s="288"/>
    </row>
    <row r="1739" spans="1:19">
      <c r="D1739" s="18"/>
      <c r="E1739" s="593" t="s">
        <v>101</v>
      </c>
      <c r="F1739" s="594"/>
      <c r="G1739" s="594"/>
      <c r="H1739" s="594"/>
      <c r="I1739" s="594"/>
      <c r="J1739" s="595"/>
      <c r="K1739" s="347"/>
      <c r="L1739" s="20"/>
      <c r="P1739" s="14" t="s">
        <v>2308</v>
      </c>
    </row>
    <row r="1740" spans="1:19">
      <c r="A1740" s="14" t="s">
        <v>119</v>
      </c>
      <c r="D1740" s="18">
        <v>1</v>
      </c>
      <c r="E1740" s="26" t="str">
        <f>VLOOKUP($A1740,MATMO,2,FALSE)</f>
        <v>Herramientas de Mano</v>
      </c>
      <c r="F1740" s="311">
        <v>1</v>
      </c>
      <c r="G1740" s="307" t="str">
        <f>VLOOKUP($A1740,MATMO,3,FALSE)</f>
        <v>gl</v>
      </c>
      <c r="H1740" s="110">
        <f>+(J1731+J1738)*$Q$5</f>
        <v>69.449140820000011</v>
      </c>
      <c r="I1740" s="345" t="str">
        <f>+G1740</f>
        <v>gl</v>
      </c>
      <c r="J1740" s="350">
        <f t="shared" ref="J1740:J1744" si="331">+H1740*F1740</f>
        <v>69.449140820000011</v>
      </c>
      <c r="K1740" s="360" t="s">
        <v>2299</v>
      </c>
      <c r="L1740" s="20"/>
      <c r="M1740" s="14" t="s">
        <v>2004</v>
      </c>
    </row>
    <row r="1741" spans="1:19">
      <c r="A1741" s="14" t="s">
        <v>118</v>
      </c>
      <c r="D1741" s="18">
        <v>2</v>
      </c>
      <c r="E1741" s="26" t="str">
        <f>VLOOKUP($A1741,MATMO,2,FALSE)</f>
        <v>-</v>
      </c>
      <c r="F1741" s="311"/>
      <c r="G1741" s="307" t="str">
        <f>VLOOKUP($A1741,MATMO,3,FALSE)</f>
        <v>-</v>
      </c>
      <c r="H1741" s="110">
        <f>VLOOKUP($A1741,MATMO,4,FALSE)*$Q$6</f>
        <v>0</v>
      </c>
      <c r="I1741" s="543" t="str">
        <f t="shared" ref="I1741:I1744" si="332">+G1741</f>
        <v>-</v>
      </c>
      <c r="J1741" s="538">
        <f t="shared" si="331"/>
        <v>0</v>
      </c>
      <c r="K1741" s="539" t="s">
        <v>2299</v>
      </c>
      <c r="L1741" s="20"/>
    </row>
    <row r="1742" spans="1:19">
      <c r="A1742" s="14" t="s">
        <v>118</v>
      </c>
      <c r="D1742" s="18">
        <v>3</v>
      </c>
      <c r="E1742" s="26" t="str">
        <f>VLOOKUP($A1742,MATMO,2,FALSE)</f>
        <v>-</v>
      </c>
      <c r="F1742" s="311"/>
      <c r="G1742" s="307" t="str">
        <f>VLOOKUP($A1742,MATMO,3,FALSE)</f>
        <v>-</v>
      </c>
      <c r="H1742" s="110">
        <f>VLOOKUP($A1742,MATMO,4,FALSE)*$Q$6</f>
        <v>0</v>
      </c>
      <c r="I1742" s="543" t="str">
        <f t="shared" si="332"/>
        <v>-</v>
      </c>
      <c r="J1742" s="538">
        <f t="shared" si="331"/>
        <v>0</v>
      </c>
      <c r="K1742" s="539" t="s">
        <v>2299</v>
      </c>
      <c r="L1742" s="20"/>
    </row>
    <row r="1743" spans="1:19">
      <c r="A1743" s="14" t="s">
        <v>118</v>
      </c>
      <c r="D1743" s="18">
        <v>4</v>
      </c>
      <c r="E1743" s="26" t="str">
        <f>VLOOKUP($A1743,MATMO,2,FALSE)</f>
        <v>-</v>
      </c>
      <c r="F1743" s="311"/>
      <c r="G1743" s="307" t="str">
        <f>VLOOKUP($A1743,MATMO,3,FALSE)</f>
        <v>-</v>
      </c>
      <c r="H1743" s="110">
        <f>VLOOKUP($A1743,MATMO,4,FALSE)*$Q$6</f>
        <v>0</v>
      </c>
      <c r="I1743" s="543" t="str">
        <f t="shared" si="332"/>
        <v>-</v>
      </c>
      <c r="J1743" s="538">
        <f t="shared" si="331"/>
        <v>0</v>
      </c>
      <c r="K1743" s="539" t="s">
        <v>2299</v>
      </c>
      <c r="L1743" s="20"/>
    </row>
    <row r="1744" spans="1:19">
      <c r="A1744" s="14" t="s">
        <v>118</v>
      </c>
      <c r="D1744" s="18">
        <v>5</v>
      </c>
      <c r="E1744" s="26" t="str">
        <f>VLOOKUP($A1744,MATMO,2,FALSE)</f>
        <v>-</v>
      </c>
      <c r="F1744" s="311"/>
      <c r="G1744" s="307" t="str">
        <f>VLOOKUP($A1744,MATMO,3,FALSE)</f>
        <v>-</v>
      </c>
      <c r="H1744" s="110">
        <f>VLOOKUP($A1744,MATMO,4,FALSE)*$Q$6</f>
        <v>0</v>
      </c>
      <c r="I1744" s="543" t="str">
        <f t="shared" si="332"/>
        <v>-</v>
      </c>
      <c r="J1744" s="538">
        <f t="shared" si="331"/>
        <v>0</v>
      </c>
      <c r="K1744" s="539" t="s">
        <v>2299</v>
      </c>
      <c r="L1744" s="20"/>
    </row>
    <row r="1745" spans="1:13">
      <c r="A1745" s="14">
        <f>A1698+1</f>
        <v>37</v>
      </c>
      <c r="B1745" s="14" t="str">
        <f>"E" &amp; TEXT(A1745,"##000")</f>
        <v>E037</v>
      </c>
      <c r="D1745" s="18"/>
      <c r="E1745" s="591" t="s">
        <v>2300</v>
      </c>
      <c r="F1745" s="592"/>
      <c r="G1745" s="592"/>
      <c r="H1745" s="592"/>
      <c r="I1745" s="327"/>
      <c r="J1745" s="362">
        <f>SUM(J1740:J1744)</f>
        <v>69.449140820000011</v>
      </c>
      <c r="K1745" s="365" t="s">
        <v>116</v>
      </c>
      <c r="L1745" s="20"/>
    </row>
    <row r="1746" spans="1:13">
      <c r="D1746" s="18"/>
      <c r="E1746" s="596"/>
      <c r="F1746" s="597"/>
      <c r="G1746" s="597"/>
      <c r="H1746" s="597"/>
      <c r="I1746" s="597"/>
      <c r="J1746" s="598"/>
      <c r="K1746" s="348"/>
      <c r="L1746" s="20"/>
    </row>
    <row r="1747" spans="1:13">
      <c r="D1747" s="18"/>
      <c r="E1747" s="591" t="s">
        <v>2306</v>
      </c>
      <c r="F1747" s="592"/>
      <c r="G1747" s="592"/>
      <c r="H1747" s="592"/>
      <c r="I1747" s="327"/>
      <c r="J1747" s="308">
        <f>+J1745+J1738+J1731</f>
        <v>1805.67766132</v>
      </c>
      <c r="K1747" s="365" t="str">
        <f>+F1708</f>
        <v>ud</v>
      </c>
      <c r="L1747" s="20"/>
    </row>
    <row r="1748" spans="1:13">
      <c r="D1748" s="18"/>
      <c r="E1748" s="591" t="s">
        <v>2305</v>
      </c>
      <c r="F1748" s="592"/>
      <c r="G1748" s="592"/>
      <c r="H1748" s="592"/>
      <c r="I1748" s="406">
        <f>+$Q$9</f>
        <v>1.6902999999999999</v>
      </c>
      <c r="J1748" s="308">
        <f>+$Q$9*J1747</f>
        <v>3052.1369509291958</v>
      </c>
      <c r="K1748" s="365" t="str">
        <f>+F1708</f>
        <v>ud</v>
      </c>
      <c r="L1748" s="20"/>
    </row>
    <row r="1749" spans="1:13">
      <c r="A1749" s="14">
        <f>A1702+1</f>
        <v>37</v>
      </c>
      <c r="B1749" s="14" t="str">
        <f>"TR" &amp; TEXT(A1749,"##000")</f>
        <v>TR037</v>
      </c>
      <c r="C1749" s="14">
        <f>+C1702+1</f>
        <v>37</v>
      </c>
      <c r="D1749" s="18"/>
      <c r="E1749" s="591" t="s">
        <v>2304</v>
      </c>
      <c r="F1749" s="592"/>
      <c r="G1749" s="592"/>
      <c r="H1749" s="592"/>
      <c r="I1749" s="327"/>
      <c r="J1749" s="308">
        <f>+J1748</f>
        <v>3052.1369509291958</v>
      </c>
      <c r="K1749" s="365" t="str">
        <f>+F1708</f>
        <v>ud</v>
      </c>
      <c r="L1749" s="20"/>
    </row>
    <row r="1750" spans="1:13" ht="16.5" thickBot="1">
      <c r="D1750" s="21"/>
      <c r="E1750" s="30"/>
      <c r="F1750" s="30"/>
      <c r="G1750" s="30"/>
      <c r="H1750" s="30"/>
      <c r="I1750" s="30"/>
      <c r="J1750" s="30"/>
      <c r="K1750" s="349"/>
      <c r="L1750" s="22"/>
    </row>
    <row r="1751" spans="1:13" ht="16.5" thickTop="1">
      <c r="D1751" s="15"/>
      <c r="E1751" s="16"/>
      <c r="F1751" s="16"/>
      <c r="G1751" s="16"/>
      <c r="H1751" s="16"/>
      <c r="I1751" s="16"/>
      <c r="J1751" s="16"/>
      <c r="K1751" s="16"/>
      <c r="L1751" s="17"/>
    </row>
    <row r="1752" spans="1:13">
      <c r="A1752" s="14" t="s">
        <v>1889</v>
      </c>
      <c r="D1752" s="18"/>
      <c r="E1752" s="23" t="s">
        <v>95</v>
      </c>
      <c r="F1752" s="24" t="str">
        <f>VLOOKUP($A1752,DATRUB,3,FALSE)</f>
        <v>RUBRO X:</v>
      </c>
      <c r="G1752" s="599" t="str">
        <f>VLOOKUP($A1752,DATRUB,4,FALSE)</f>
        <v>CARPINTERÍA de MADERA</v>
      </c>
      <c r="H1752" s="599"/>
      <c r="I1752" s="599"/>
      <c r="J1752" s="599"/>
      <c r="K1752" s="599"/>
      <c r="L1752" s="20"/>
    </row>
    <row r="1753" spans="1:13" ht="35.1" customHeight="1">
      <c r="A1753" s="14" t="s">
        <v>1890</v>
      </c>
      <c r="D1753" s="18"/>
      <c r="E1753" s="23" t="s">
        <v>96</v>
      </c>
      <c r="F1753" s="399">
        <f>VLOOKUP($A1753,DATRUB,3,FALSE)</f>
        <v>10.3</v>
      </c>
      <c r="G1753" s="599" t="str">
        <f>VLOOKUP($A1753,DATRUB,4,FALSE)</f>
        <v>P4:  0,70 x 1,80 Hoja (Baños Retretes)</v>
      </c>
      <c r="H1753" s="599"/>
      <c r="I1753" s="599"/>
      <c r="J1753" s="599"/>
      <c r="K1753" s="599"/>
      <c r="L1753" s="20"/>
    </row>
    <row r="1754" spans="1:13" ht="35.1" customHeight="1">
      <c r="A1754" s="14" t="s">
        <v>1890</v>
      </c>
      <c r="D1754" s="18"/>
      <c r="E1754" s="23" t="s">
        <v>97</v>
      </c>
      <c r="F1754" s="399">
        <f>VLOOKUP($A1754,DATRUB,3,FALSE)</f>
        <v>10.3</v>
      </c>
      <c r="G1754" s="599" t="str">
        <f>VLOOKUP($A1754,DATRUB,4,FALSE)</f>
        <v>P4:  0,70 x 1,80 Hoja (Baños Retretes)</v>
      </c>
      <c r="H1754" s="599"/>
      <c r="I1754" s="599"/>
      <c r="J1754" s="599"/>
      <c r="K1754" s="599"/>
      <c r="L1754" s="20"/>
    </row>
    <row r="1755" spans="1:13">
      <c r="D1755" s="18"/>
      <c r="E1755" s="23" t="s">
        <v>98</v>
      </c>
      <c r="F1755" s="24" t="str">
        <f>VLOOKUP($A1754,DATRUB,5,FALSE)</f>
        <v>ud</v>
      </c>
      <c r="G1755" s="600"/>
      <c r="H1755" s="600"/>
      <c r="I1755" s="600"/>
      <c r="J1755" s="600"/>
      <c r="K1755" s="600"/>
      <c r="L1755" s="20"/>
    </row>
    <row r="1756" spans="1:13">
      <c r="D1756" s="18"/>
      <c r="E1756" s="24" t="s">
        <v>1158</v>
      </c>
      <c r="F1756" s="25" t="s">
        <v>1250</v>
      </c>
      <c r="G1756" s="24" t="s">
        <v>24</v>
      </c>
      <c r="H1756" s="24" t="s">
        <v>25</v>
      </c>
      <c r="I1756" s="24" t="s">
        <v>24</v>
      </c>
      <c r="J1756" s="24" t="s">
        <v>2298</v>
      </c>
      <c r="K1756" s="24" t="s">
        <v>24</v>
      </c>
      <c r="L1756" s="20"/>
    </row>
    <row r="1757" spans="1:13">
      <c r="D1757" s="18"/>
      <c r="E1757" s="593" t="s">
        <v>99</v>
      </c>
      <c r="F1757" s="594"/>
      <c r="G1757" s="594"/>
      <c r="H1757" s="594"/>
      <c r="I1757" s="594"/>
      <c r="J1757" s="594"/>
      <c r="K1757" s="595"/>
      <c r="L1757" s="20"/>
    </row>
    <row r="1758" spans="1:13">
      <c r="A1758" s="14" t="s">
        <v>2437</v>
      </c>
      <c r="D1758" s="18">
        <v>1</v>
      </c>
      <c r="E1758" s="355" t="str">
        <f t="shared" ref="E1758:E1777" si="333">VLOOKUP($A1758,MATMO,2,FALSE)</f>
        <v>P4:  0,70 x 1,80 Hoja (Baños Retretes)</v>
      </c>
      <c r="F1758" s="356">
        <v>1</v>
      </c>
      <c r="G1758" s="357" t="str">
        <f t="shared" ref="G1758:G1777" si="334">VLOOKUP($A1758,MATMO,3,FALSE)</f>
        <v>un</v>
      </c>
      <c r="H1758" s="358">
        <f t="shared" ref="H1758:H1777" si="335">VLOOKUP($A1758,MATMO,4,FALSE)*$Q$6</f>
        <v>1700</v>
      </c>
      <c r="I1758" s="359" t="str">
        <f t="shared" ref="I1758:I1777" si="336">+G1758</f>
        <v>un</v>
      </c>
      <c r="J1758" s="361">
        <f>+H1758*F1758</f>
        <v>1700</v>
      </c>
      <c r="K1758" s="360" t="s">
        <v>2299</v>
      </c>
      <c r="L1758" s="20"/>
      <c r="M1758" s="14" t="s">
        <v>2005</v>
      </c>
    </row>
    <row r="1759" spans="1:13">
      <c r="A1759" s="14" t="s">
        <v>31</v>
      </c>
      <c r="D1759" s="18">
        <v>2</v>
      </c>
      <c r="E1759" s="26" t="str">
        <f t="shared" si="333"/>
        <v>-</v>
      </c>
      <c r="F1759" s="311"/>
      <c r="G1759" s="307" t="str">
        <f t="shared" si="334"/>
        <v>-</v>
      </c>
      <c r="H1759" s="351">
        <f t="shared" si="335"/>
        <v>0</v>
      </c>
      <c r="I1759" s="537" t="str">
        <f t="shared" si="336"/>
        <v>-</v>
      </c>
      <c r="J1759" s="538">
        <f t="shared" ref="J1759:J1777" si="337">+H1759*F1759</f>
        <v>0</v>
      </c>
      <c r="K1759" s="539" t="s">
        <v>2299</v>
      </c>
      <c r="L1759" s="20"/>
    </row>
    <row r="1760" spans="1:13">
      <c r="A1760" s="14" t="s">
        <v>31</v>
      </c>
      <c r="D1760" s="18">
        <v>3</v>
      </c>
      <c r="E1760" s="26" t="str">
        <f t="shared" si="333"/>
        <v>-</v>
      </c>
      <c r="F1760" s="311"/>
      <c r="G1760" s="307" t="str">
        <f t="shared" si="334"/>
        <v>-</v>
      </c>
      <c r="H1760" s="351">
        <f t="shared" si="335"/>
        <v>0</v>
      </c>
      <c r="I1760" s="537" t="str">
        <f t="shared" si="336"/>
        <v>-</v>
      </c>
      <c r="J1760" s="538">
        <f t="shared" si="337"/>
        <v>0</v>
      </c>
      <c r="K1760" s="539" t="s">
        <v>2299</v>
      </c>
      <c r="L1760" s="20"/>
    </row>
    <row r="1761" spans="1:12">
      <c r="A1761" s="14" t="s">
        <v>31</v>
      </c>
      <c r="D1761" s="18">
        <v>4</v>
      </c>
      <c r="E1761" s="26" t="str">
        <f t="shared" si="333"/>
        <v>-</v>
      </c>
      <c r="F1761" s="311"/>
      <c r="G1761" s="307" t="str">
        <f t="shared" si="334"/>
        <v>-</v>
      </c>
      <c r="H1761" s="351">
        <f t="shared" si="335"/>
        <v>0</v>
      </c>
      <c r="I1761" s="537" t="str">
        <f t="shared" si="336"/>
        <v>-</v>
      </c>
      <c r="J1761" s="538">
        <f t="shared" si="337"/>
        <v>0</v>
      </c>
      <c r="K1761" s="539" t="s">
        <v>2299</v>
      </c>
      <c r="L1761" s="20"/>
    </row>
    <row r="1762" spans="1:12">
      <c r="A1762" s="14" t="s">
        <v>31</v>
      </c>
      <c r="D1762" s="18">
        <v>5</v>
      </c>
      <c r="E1762" s="26" t="str">
        <f t="shared" si="333"/>
        <v>-</v>
      </c>
      <c r="F1762" s="311"/>
      <c r="G1762" s="307" t="str">
        <f t="shared" si="334"/>
        <v>-</v>
      </c>
      <c r="H1762" s="351">
        <f t="shared" si="335"/>
        <v>0</v>
      </c>
      <c r="I1762" s="537" t="str">
        <f t="shared" si="336"/>
        <v>-</v>
      </c>
      <c r="J1762" s="538">
        <f t="shared" si="337"/>
        <v>0</v>
      </c>
      <c r="K1762" s="539" t="s">
        <v>2299</v>
      </c>
      <c r="L1762" s="20"/>
    </row>
    <row r="1763" spans="1:12">
      <c r="A1763" s="14" t="s">
        <v>31</v>
      </c>
      <c r="D1763" s="18">
        <v>6</v>
      </c>
      <c r="E1763" s="26" t="str">
        <f t="shared" si="333"/>
        <v>-</v>
      </c>
      <c r="F1763" s="311"/>
      <c r="G1763" s="307" t="str">
        <f t="shared" si="334"/>
        <v>-</v>
      </c>
      <c r="H1763" s="351">
        <f t="shared" si="335"/>
        <v>0</v>
      </c>
      <c r="I1763" s="537" t="str">
        <f t="shared" si="336"/>
        <v>-</v>
      </c>
      <c r="J1763" s="538">
        <f t="shared" si="337"/>
        <v>0</v>
      </c>
      <c r="K1763" s="539" t="s">
        <v>2299</v>
      </c>
      <c r="L1763" s="20"/>
    </row>
    <row r="1764" spans="1:12">
      <c r="A1764" s="14" t="s">
        <v>31</v>
      </c>
      <c r="D1764" s="18">
        <v>7</v>
      </c>
      <c r="E1764" s="26" t="str">
        <f t="shared" si="333"/>
        <v>-</v>
      </c>
      <c r="F1764" s="311"/>
      <c r="G1764" s="307" t="str">
        <f t="shared" si="334"/>
        <v>-</v>
      </c>
      <c r="H1764" s="351">
        <f t="shared" si="335"/>
        <v>0</v>
      </c>
      <c r="I1764" s="537" t="str">
        <f t="shared" si="336"/>
        <v>-</v>
      </c>
      <c r="J1764" s="538">
        <f t="shared" si="337"/>
        <v>0</v>
      </c>
      <c r="K1764" s="539" t="s">
        <v>2299</v>
      </c>
      <c r="L1764" s="20"/>
    </row>
    <row r="1765" spans="1:12">
      <c r="A1765" s="14" t="s">
        <v>31</v>
      </c>
      <c r="D1765" s="18">
        <v>8</v>
      </c>
      <c r="E1765" s="26" t="str">
        <f t="shared" si="333"/>
        <v>-</v>
      </c>
      <c r="F1765" s="311"/>
      <c r="G1765" s="307" t="str">
        <f t="shared" si="334"/>
        <v>-</v>
      </c>
      <c r="H1765" s="351">
        <f t="shared" si="335"/>
        <v>0</v>
      </c>
      <c r="I1765" s="537" t="str">
        <f t="shared" si="336"/>
        <v>-</v>
      </c>
      <c r="J1765" s="538">
        <f t="shared" si="337"/>
        <v>0</v>
      </c>
      <c r="K1765" s="539" t="s">
        <v>2299</v>
      </c>
      <c r="L1765" s="20"/>
    </row>
    <row r="1766" spans="1:12">
      <c r="A1766" s="14" t="s">
        <v>31</v>
      </c>
      <c r="D1766" s="18">
        <v>9</v>
      </c>
      <c r="E1766" s="26" t="str">
        <f t="shared" si="333"/>
        <v>-</v>
      </c>
      <c r="F1766" s="311"/>
      <c r="G1766" s="307" t="str">
        <f t="shared" si="334"/>
        <v>-</v>
      </c>
      <c r="H1766" s="351">
        <f t="shared" si="335"/>
        <v>0</v>
      </c>
      <c r="I1766" s="537" t="str">
        <f t="shared" si="336"/>
        <v>-</v>
      </c>
      <c r="J1766" s="538">
        <f t="shared" si="337"/>
        <v>0</v>
      </c>
      <c r="K1766" s="539" t="s">
        <v>2299</v>
      </c>
      <c r="L1766" s="20"/>
    </row>
    <row r="1767" spans="1:12">
      <c r="A1767" s="14" t="s">
        <v>31</v>
      </c>
      <c r="D1767" s="18">
        <v>10</v>
      </c>
      <c r="E1767" s="26" t="str">
        <f t="shared" si="333"/>
        <v>-</v>
      </c>
      <c r="F1767" s="311"/>
      <c r="G1767" s="307" t="str">
        <f t="shared" si="334"/>
        <v>-</v>
      </c>
      <c r="H1767" s="351">
        <f t="shared" si="335"/>
        <v>0</v>
      </c>
      <c r="I1767" s="537" t="str">
        <f t="shared" si="336"/>
        <v>-</v>
      </c>
      <c r="J1767" s="538">
        <f t="shared" si="337"/>
        <v>0</v>
      </c>
      <c r="K1767" s="539" t="s">
        <v>2299</v>
      </c>
      <c r="L1767" s="20"/>
    </row>
    <row r="1768" spans="1:12">
      <c r="A1768" s="14" t="s">
        <v>31</v>
      </c>
      <c r="D1768" s="18">
        <v>11</v>
      </c>
      <c r="E1768" s="26" t="str">
        <f t="shared" si="333"/>
        <v>-</v>
      </c>
      <c r="F1768" s="311"/>
      <c r="G1768" s="307" t="str">
        <f t="shared" si="334"/>
        <v>-</v>
      </c>
      <c r="H1768" s="351">
        <f t="shared" si="335"/>
        <v>0</v>
      </c>
      <c r="I1768" s="537" t="str">
        <f t="shared" si="336"/>
        <v>-</v>
      </c>
      <c r="J1768" s="538">
        <f t="shared" si="337"/>
        <v>0</v>
      </c>
      <c r="K1768" s="539" t="s">
        <v>2299</v>
      </c>
      <c r="L1768" s="20"/>
    </row>
    <row r="1769" spans="1:12">
      <c r="A1769" s="14" t="s">
        <v>31</v>
      </c>
      <c r="D1769" s="18">
        <v>12</v>
      </c>
      <c r="E1769" s="26" t="str">
        <f t="shared" si="333"/>
        <v>-</v>
      </c>
      <c r="F1769" s="311"/>
      <c r="G1769" s="307" t="str">
        <f t="shared" si="334"/>
        <v>-</v>
      </c>
      <c r="H1769" s="352">
        <f t="shared" si="335"/>
        <v>0</v>
      </c>
      <c r="I1769" s="537" t="str">
        <f t="shared" si="336"/>
        <v>-</v>
      </c>
      <c r="J1769" s="538">
        <f t="shared" si="337"/>
        <v>0</v>
      </c>
      <c r="K1769" s="539" t="s">
        <v>2299</v>
      </c>
      <c r="L1769" s="20"/>
    </row>
    <row r="1770" spans="1:12">
      <c r="A1770" s="14" t="s">
        <v>31</v>
      </c>
      <c r="D1770" s="18">
        <v>13</v>
      </c>
      <c r="E1770" s="26" t="str">
        <f t="shared" si="333"/>
        <v>-</v>
      </c>
      <c r="F1770" s="311"/>
      <c r="G1770" s="307" t="str">
        <f t="shared" si="334"/>
        <v>-</v>
      </c>
      <c r="H1770" s="352">
        <f t="shared" si="335"/>
        <v>0</v>
      </c>
      <c r="I1770" s="537" t="str">
        <f t="shared" si="336"/>
        <v>-</v>
      </c>
      <c r="J1770" s="538">
        <f t="shared" si="337"/>
        <v>0</v>
      </c>
      <c r="K1770" s="539" t="s">
        <v>2299</v>
      </c>
      <c r="L1770" s="20"/>
    </row>
    <row r="1771" spans="1:12">
      <c r="A1771" s="14" t="s">
        <v>31</v>
      </c>
      <c r="D1771" s="18">
        <v>14</v>
      </c>
      <c r="E1771" s="26" t="str">
        <f t="shared" si="333"/>
        <v>-</v>
      </c>
      <c r="F1771" s="311"/>
      <c r="G1771" s="307" t="str">
        <f t="shared" si="334"/>
        <v>-</v>
      </c>
      <c r="H1771" s="352">
        <f t="shared" si="335"/>
        <v>0</v>
      </c>
      <c r="I1771" s="537" t="str">
        <f t="shared" si="336"/>
        <v>-</v>
      </c>
      <c r="J1771" s="538">
        <f t="shared" si="337"/>
        <v>0</v>
      </c>
      <c r="K1771" s="539" t="s">
        <v>2299</v>
      </c>
      <c r="L1771" s="20"/>
    </row>
    <row r="1772" spans="1:12">
      <c r="A1772" s="14" t="s">
        <v>31</v>
      </c>
      <c r="D1772" s="18">
        <v>15</v>
      </c>
      <c r="E1772" s="26" t="str">
        <f t="shared" si="333"/>
        <v>-</v>
      </c>
      <c r="F1772" s="311"/>
      <c r="G1772" s="307" t="str">
        <f t="shared" si="334"/>
        <v>-</v>
      </c>
      <c r="H1772" s="352">
        <f t="shared" si="335"/>
        <v>0</v>
      </c>
      <c r="I1772" s="537" t="str">
        <f t="shared" si="336"/>
        <v>-</v>
      </c>
      <c r="J1772" s="538">
        <f t="shared" si="337"/>
        <v>0</v>
      </c>
      <c r="K1772" s="539" t="s">
        <v>2299</v>
      </c>
      <c r="L1772" s="20"/>
    </row>
    <row r="1773" spans="1:12">
      <c r="A1773" s="14" t="s">
        <v>31</v>
      </c>
      <c r="D1773" s="18">
        <v>16</v>
      </c>
      <c r="E1773" s="26" t="str">
        <f t="shared" si="333"/>
        <v>-</v>
      </c>
      <c r="F1773" s="311"/>
      <c r="G1773" s="307" t="str">
        <f t="shared" si="334"/>
        <v>-</v>
      </c>
      <c r="H1773" s="352">
        <f t="shared" si="335"/>
        <v>0</v>
      </c>
      <c r="I1773" s="537" t="str">
        <f t="shared" si="336"/>
        <v>-</v>
      </c>
      <c r="J1773" s="538">
        <f t="shared" si="337"/>
        <v>0</v>
      </c>
      <c r="K1773" s="539" t="s">
        <v>2299</v>
      </c>
      <c r="L1773" s="20"/>
    </row>
    <row r="1774" spans="1:12">
      <c r="A1774" s="14" t="s">
        <v>31</v>
      </c>
      <c r="D1774" s="18">
        <v>17</v>
      </c>
      <c r="E1774" s="26" t="str">
        <f t="shared" si="333"/>
        <v>-</v>
      </c>
      <c r="F1774" s="311"/>
      <c r="G1774" s="307" t="str">
        <f t="shared" si="334"/>
        <v>-</v>
      </c>
      <c r="H1774" s="352">
        <f t="shared" si="335"/>
        <v>0</v>
      </c>
      <c r="I1774" s="537" t="str">
        <f t="shared" si="336"/>
        <v>-</v>
      </c>
      <c r="J1774" s="538">
        <f t="shared" si="337"/>
        <v>0</v>
      </c>
      <c r="K1774" s="539" t="s">
        <v>2299</v>
      </c>
      <c r="L1774" s="20"/>
    </row>
    <row r="1775" spans="1:12">
      <c r="A1775" s="14" t="s">
        <v>31</v>
      </c>
      <c r="D1775" s="18">
        <v>18</v>
      </c>
      <c r="E1775" s="26" t="str">
        <f t="shared" si="333"/>
        <v>-</v>
      </c>
      <c r="F1775" s="311"/>
      <c r="G1775" s="307" t="str">
        <f t="shared" si="334"/>
        <v>-</v>
      </c>
      <c r="H1775" s="352">
        <f t="shared" si="335"/>
        <v>0</v>
      </c>
      <c r="I1775" s="537" t="str">
        <f t="shared" si="336"/>
        <v>-</v>
      </c>
      <c r="J1775" s="538">
        <f t="shared" si="337"/>
        <v>0</v>
      </c>
      <c r="K1775" s="539" t="s">
        <v>2299</v>
      </c>
      <c r="L1775" s="20"/>
    </row>
    <row r="1776" spans="1:12">
      <c r="A1776" s="14" t="s">
        <v>31</v>
      </c>
      <c r="D1776" s="18">
        <v>19</v>
      </c>
      <c r="E1776" s="26" t="str">
        <f t="shared" si="333"/>
        <v>-</v>
      </c>
      <c r="F1776" s="311"/>
      <c r="G1776" s="307" t="str">
        <f t="shared" si="334"/>
        <v>-</v>
      </c>
      <c r="H1776" s="352">
        <f t="shared" si="335"/>
        <v>0</v>
      </c>
      <c r="I1776" s="537" t="str">
        <f t="shared" si="336"/>
        <v>-</v>
      </c>
      <c r="J1776" s="538">
        <f t="shared" si="337"/>
        <v>0</v>
      </c>
      <c r="K1776" s="539" t="s">
        <v>2299</v>
      </c>
      <c r="L1776" s="20"/>
    </row>
    <row r="1777" spans="1:19">
      <c r="A1777" s="14" t="s">
        <v>31</v>
      </c>
      <c r="D1777" s="18">
        <v>20</v>
      </c>
      <c r="E1777" s="26" t="str">
        <f t="shared" si="333"/>
        <v>-</v>
      </c>
      <c r="F1777" s="311"/>
      <c r="G1777" s="307" t="str">
        <f t="shared" si="334"/>
        <v>-</v>
      </c>
      <c r="H1777" s="352">
        <f t="shared" si="335"/>
        <v>0</v>
      </c>
      <c r="I1777" s="537" t="str">
        <f t="shared" si="336"/>
        <v>-</v>
      </c>
      <c r="J1777" s="541">
        <f t="shared" si="337"/>
        <v>0</v>
      </c>
      <c r="K1777" s="539" t="s">
        <v>2299</v>
      </c>
      <c r="L1777" s="20"/>
    </row>
    <row r="1778" spans="1:19">
      <c r="A1778" s="14">
        <f>A1745+1</f>
        <v>38</v>
      </c>
      <c r="B1778" s="14" t="str">
        <f>"MA" &amp; TEXT(A1778,"##000")</f>
        <v>MA038</v>
      </c>
      <c r="D1778" s="18"/>
      <c r="E1778" s="591" t="s">
        <v>2302</v>
      </c>
      <c r="F1778" s="592"/>
      <c r="G1778" s="592"/>
      <c r="H1778" s="592"/>
      <c r="I1778" s="327"/>
      <c r="J1778" s="353">
        <f>SUM(J1758:J1777)</f>
        <v>1700</v>
      </c>
      <c r="K1778" s="365" t="str">
        <f>+F1755</f>
        <v>ud</v>
      </c>
      <c r="L1778" s="20"/>
      <c r="O1778" s="27" t="s">
        <v>1525</v>
      </c>
      <c r="P1778" s="110">
        <v>20</v>
      </c>
    </row>
    <row r="1779" spans="1:19">
      <c r="D1779" s="18"/>
      <c r="E1779" s="593" t="s">
        <v>100</v>
      </c>
      <c r="F1779" s="594"/>
      <c r="G1779" s="594"/>
      <c r="H1779" s="594"/>
      <c r="I1779" s="594"/>
      <c r="J1779" s="595"/>
      <c r="K1779" s="347"/>
      <c r="L1779" s="20"/>
      <c r="O1779" s="27" t="s">
        <v>1524</v>
      </c>
      <c r="P1779" s="110">
        <v>0</v>
      </c>
    </row>
    <row r="1780" spans="1:19">
      <c r="A1780" s="14" t="s">
        <v>84</v>
      </c>
      <c r="D1780" s="18">
        <v>1</v>
      </c>
      <c r="E1780" s="26" t="str">
        <f>VLOOKUP($A1780,MATMO,2,FALSE)</f>
        <v>Oficial</v>
      </c>
      <c r="F1780" s="311">
        <v>0.25</v>
      </c>
      <c r="G1780" s="307" t="str">
        <f>VLOOKUP($A1780,MATMO,3,FALSE)</f>
        <v>hs</v>
      </c>
      <c r="H1780" s="110">
        <f>VLOOKUP($A1780,MATMO,4,FALSE)*$Q$7</f>
        <v>55.38</v>
      </c>
      <c r="I1780" s="354" t="str">
        <f t="shared" ref="I1780:I1784" si="338">+G1780</f>
        <v>hs</v>
      </c>
      <c r="J1780" s="350">
        <f t="shared" ref="J1780:J1784" si="339">+H1780*F1780</f>
        <v>13.845000000000001</v>
      </c>
      <c r="K1780" s="360" t="s">
        <v>2299</v>
      </c>
      <c r="L1780" s="20"/>
      <c r="M1780" s="14" t="s">
        <v>2006</v>
      </c>
      <c r="O1780" s="27" t="s">
        <v>1526</v>
      </c>
      <c r="P1780" s="110">
        <v>0</v>
      </c>
    </row>
    <row r="1781" spans="1:19">
      <c r="A1781" s="14" t="s">
        <v>85</v>
      </c>
      <c r="D1781" s="18">
        <v>2</v>
      </c>
      <c r="E1781" s="26" t="str">
        <f>VLOOKUP($A1781,MATMO,2,FALSE)</f>
        <v>Ayudante</v>
      </c>
      <c r="F1781" s="311">
        <v>0.1</v>
      </c>
      <c r="G1781" s="307" t="str">
        <f>VLOOKUP($A1781,MATMO,3,FALSE)</f>
        <v>hs</v>
      </c>
      <c r="H1781" s="110">
        <f>VLOOKUP($A1781,MATMO,4,FALSE)*$Q$7</f>
        <v>46.87</v>
      </c>
      <c r="I1781" s="354" t="str">
        <f t="shared" si="338"/>
        <v>hs</v>
      </c>
      <c r="J1781" s="350">
        <f t="shared" si="339"/>
        <v>4.6870000000000003</v>
      </c>
      <c r="K1781" s="360" t="s">
        <v>2299</v>
      </c>
      <c r="L1781" s="20"/>
      <c r="O1781" s="27" t="s">
        <v>1527</v>
      </c>
      <c r="P1781" s="110">
        <v>0</v>
      </c>
    </row>
    <row r="1782" spans="1:19">
      <c r="A1782" s="14" t="s">
        <v>2311</v>
      </c>
      <c r="D1782" s="18">
        <v>3</v>
      </c>
      <c r="E1782" s="26" t="str">
        <f>VLOOKUP($A1782,MATMO,2,FALSE)</f>
        <v>Cargas Sociales Oficial</v>
      </c>
      <c r="F1782" s="311">
        <f>+F1780</f>
        <v>0.25</v>
      </c>
      <c r="G1782" s="307" t="str">
        <f>VLOOKUP($A1782,MATMO,3,FALSE)</f>
        <v>hs</v>
      </c>
      <c r="H1782" s="110">
        <f>VLOOKUP($A1782,MATMO,4,FALSE)*$Q$7</f>
        <v>52.742782499999997</v>
      </c>
      <c r="I1782" s="354" t="str">
        <f t="shared" si="338"/>
        <v>hs</v>
      </c>
      <c r="J1782" s="350">
        <f t="shared" si="339"/>
        <v>13.185695624999999</v>
      </c>
      <c r="K1782" s="360" t="s">
        <v>2299</v>
      </c>
      <c r="L1782" s="20"/>
      <c r="O1782" s="27"/>
      <c r="P1782" s="110">
        <v>0</v>
      </c>
    </row>
    <row r="1783" spans="1:19">
      <c r="A1783" s="14" t="s">
        <v>2312</v>
      </c>
      <c r="D1783" s="18">
        <v>4</v>
      </c>
      <c r="E1783" s="26" t="str">
        <f>VLOOKUP($A1783,MATMO,2,FALSE)</f>
        <v>Cargas Sociales Ayudante</v>
      </c>
      <c r="F1783" s="311">
        <f>+F1781</f>
        <v>0.1</v>
      </c>
      <c r="G1783" s="307" t="str">
        <f>VLOOKUP($A1783,MATMO,3,FALSE)</f>
        <v>hs</v>
      </c>
      <c r="H1783" s="110">
        <f>VLOOKUP($A1783,MATMO,4,FALSE)*$Q$7</f>
        <v>45.108248750000001</v>
      </c>
      <c r="I1783" s="354" t="str">
        <f t="shared" si="338"/>
        <v>hs</v>
      </c>
      <c r="J1783" s="350">
        <f t="shared" si="339"/>
        <v>4.510824875</v>
      </c>
      <c r="K1783" s="360" t="s">
        <v>2299</v>
      </c>
      <c r="L1783" s="20"/>
      <c r="O1783" s="27"/>
      <c r="P1783" s="110">
        <v>0</v>
      </c>
    </row>
    <row r="1784" spans="1:19" ht="16.5" thickBot="1">
      <c r="A1784" s="14" t="s">
        <v>83</v>
      </c>
      <c r="D1784" s="18">
        <v>5</v>
      </c>
      <c r="E1784" s="26" t="str">
        <f>VLOOKUP($A1784,MATMO,2,FALSE)</f>
        <v>-</v>
      </c>
      <c r="F1784" s="311"/>
      <c r="G1784" s="307" t="str">
        <f>VLOOKUP($A1784,MATMO,3,FALSE)</f>
        <v>-</v>
      </c>
      <c r="H1784" s="110">
        <f>VLOOKUP($A1784,MATMO,4,FALSE)*$Q$7</f>
        <v>0</v>
      </c>
      <c r="I1784" s="537" t="str">
        <f t="shared" si="338"/>
        <v>-</v>
      </c>
      <c r="J1784" s="538">
        <f t="shared" si="339"/>
        <v>0</v>
      </c>
      <c r="K1784" s="539" t="s">
        <v>2299</v>
      </c>
      <c r="L1784" s="20"/>
      <c r="O1784" s="27"/>
      <c r="P1784" s="110">
        <v>0</v>
      </c>
      <c r="R1784" s="29" t="s">
        <v>2307</v>
      </c>
    </row>
    <row r="1785" spans="1:19" ht="16.5" thickBot="1">
      <c r="A1785" s="14">
        <f>A1745+1</f>
        <v>38</v>
      </c>
      <c r="B1785" s="14" t="str">
        <f>"MO" &amp; TEXT(A1785,"##000")</f>
        <v>MO038</v>
      </c>
      <c r="D1785" s="18"/>
      <c r="E1785" s="591" t="s">
        <v>2301</v>
      </c>
      <c r="F1785" s="592"/>
      <c r="G1785" s="592"/>
      <c r="H1785" s="592"/>
      <c r="I1785" s="327"/>
      <c r="J1785" s="362">
        <f>SUM(J1780:J1784)</f>
        <v>36.228520499999995</v>
      </c>
      <c r="K1785" s="365" t="str">
        <f>+G1780</f>
        <v>hs</v>
      </c>
      <c r="L1785" s="20"/>
      <c r="N1785" s="111">
        <f>+P1785+R1785</f>
        <v>38</v>
      </c>
      <c r="O1785" s="27"/>
      <c r="P1785" s="27">
        <f>SUM(P1778:P1784)</f>
        <v>20</v>
      </c>
      <c r="Q1785" s="26">
        <v>0.9</v>
      </c>
      <c r="R1785" s="287">
        <f>+Q1785*P1785</f>
        <v>18</v>
      </c>
      <c r="S1785" s="288"/>
    </row>
    <row r="1786" spans="1:19">
      <c r="D1786" s="18"/>
      <c r="E1786" s="593" t="s">
        <v>101</v>
      </c>
      <c r="F1786" s="594"/>
      <c r="G1786" s="594"/>
      <c r="H1786" s="594"/>
      <c r="I1786" s="594"/>
      <c r="J1786" s="595"/>
      <c r="K1786" s="347"/>
      <c r="L1786" s="20"/>
      <c r="P1786" s="14" t="s">
        <v>2308</v>
      </c>
    </row>
    <row r="1787" spans="1:19">
      <c r="A1787" s="14" t="s">
        <v>119</v>
      </c>
      <c r="D1787" s="18">
        <v>1</v>
      </c>
      <c r="E1787" s="26" t="str">
        <f>VLOOKUP($A1787,MATMO,2,FALSE)</f>
        <v>Herramientas de Mano</v>
      </c>
      <c r="F1787" s="311">
        <v>1</v>
      </c>
      <c r="G1787" s="307" t="str">
        <f>VLOOKUP($A1787,MATMO,3,FALSE)</f>
        <v>gl</v>
      </c>
      <c r="H1787" s="110">
        <f>+(J1778+J1785)*$Q$5</f>
        <v>69.449140820000011</v>
      </c>
      <c r="I1787" s="345" t="str">
        <f>+G1787</f>
        <v>gl</v>
      </c>
      <c r="J1787" s="350">
        <f t="shared" ref="J1787:J1791" si="340">+H1787*F1787</f>
        <v>69.449140820000011</v>
      </c>
      <c r="K1787" s="360" t="s">
        <v>2299</v>
      </c>
      <c r="L1787" s="20"/>
      <c r="M1787" s="14" t="s">
        <v>2004</v>
      </c>
    </row>
    <row r="1788" spans="1:19">
      <c r="A1788" s="14" t="s">
        <v>118</v>
      </c>
      <c r="D1788" s="18">
        <v>2</v>
      </c>
      <c r="E1788" s="26" t="str">
        <f>VLOOKUP($A1788,MATMO,2,FALSE)</f>
        <v>-</v>
      </c>
      <c r="F1788" s="311"/>
      <c r="G1788" s="307" t="str">
        <f>VLOOKUP($A1788,MATMO,3,FALSE)</f>
        <v>-</v>
      </c>
      <c r="H1788" s="110">
        <f>VLOOKUP($A1788,MATMO,4,FALSE)*$Q$6</f>
        <v>0</v>
      </c>
      <c r="I1788" s="543" t="str">
        <f t="shared" ref="I1788:I1791" si="341">+G1788</f>
        <v>-</v>
      </c>
      <c r="J1788" s="538">
        <f t="shared" si="340"/>
        <v>0</v>
      </c>
      <c r="K1788" s="539" t="s">
        <v>2299</v>
      </c>
      <c r="L1788" s="20"/>
    </row>
    <row r="1789" spans="1:19">
      <c r="A1789" s="14" t="s">
        <v>118</v>
      </c>
      <c r="D1789" s="18">
        <v>3</v>
      </c>
      <c r="E1789" s="26" t="str">
        <f>VLOOKUP($A1789,MATMO,2,FALSE)</f>
        <v>-</v>
      </c>
      <c r="F1789" s="311"/>
      <c r="G1789" s="307" t="str">
        <f>VLOOKUP($A1789,MATMO,3,FALSE)</f>
        <v>-</v>
      </c>
      <c r="H1789" s="110">
        <f>VLOOKUP($A1789,MATMO,4,FALSE)*$Q$6</f>
        <v>0</v>
      </c>
      <c r="I1789" s="543" t="str">
        <f t="shared" si="341"/>
        <v>-</v>
      </c>
      <c r="J1789" s="538">
        <f t="shared" si="340"/>
        <v>0</v>
      </c>
      <c r="K1789" s="539" t="s">
        <v>2299</v>
      </c>
      <c r="L1789" s="20"/>
    </row>
    <row r="1790" spans="1:19">
      <c r="A1790" s="14" t="s">
        <v>118</v>
      </c>
      <c r="D1790" s="18">
        <v>4</v>
      </c>
      <c r="E1790" s="26" t="str">
        <f>VLOOKUP($A1790,MATMO,2,FALSE)</f>
        <v>-</v>
      </c>
      <c r="F1790" s="311"/>
      <c r="G1790" s="307" t="str">
        <f>VLOOKUP($A1790,MATMO,3,FALSE)</f>
        <v>-</v>
      </c>
      <c r="H1790" s="110">
        <f>VLOOKUP($A1790,MATMO,4,FALSE)*$Q$6</f>
        <v>0</v>
      </c>
      <c r="I1790" s="543" t="str">
        <f t="shared" si="341"/>
        <v>-</v>
      </c>
      <c r="J1790" s="538">
        <f t="shared" si="340"/>
        <v>0</v>
      </c>
      <c r="K1790" s="539" t="s">
        <v>2299</v>
      </c>
      <c r="L1790" s="20"/>
    </row>
    <row r="1791" spans="1:19">
      <c r="A1791" s="14" t="s">
        <v>118</v>
      </c>
      <c r="D1791" s="18">
        <v>5</v>
      </c>
      <c r="E1791" s="26" t="str">
        <f>VLOOKUP($A1791,MATMO,2,FALSE)</f>
        <v>-</v>
      </c>
      <c r="F1791" s="311"/>
      <c r="G1791" s="307" t="str">
        <f>VLOOKUP($A1791,MATMO,3,FALSE)</f>
        <v>-</v>
      </c>
      <c r="H1791" s="110">
        <f>VLOOKUP($A1791,MATMO,4,FALSE)*$Q$6</f>
        <v>0</v>
      </c>
      <c r="I1791" s="543" t="str">
        <f t="shared" si="341"/>
        <v>-</v>
      </c>
      <c r="J1791" s="538">
        <f t="shared" si="340"/>
        <v>0</v>
      </c>
      <c r="K1791" s="539" t="s">
        <v>2299</v>
      </c>
      <c r="L1791" s="20"/>
    </row>
    <row r="1792" spans="1:19">
      <c r="A1792" s="14">
        <f>A1745+1</f>
        <v>38</v>
      </c>
      <c r="B1792" s="14" t="str">
        <f>"E" &amp; TEXT(A1792,"##000")</f>
        <v>E038</v>
      </c>
      <c r="D1792" s="18"/>
      <c r="E1792" s="591" t="s">
        <v>2300</v>
      </c>
      <c r="F1792" s="592"/>
      <c r="G1792" s="592"/>
      <c r="H1792" s="592"/>
      <c r="I1792" s="327"/>
      <c r="J1792" s="362">
        <f>SUM(J1787:J1791)</f>
        <v>69.449140820000011</v>
      </c>
      <c r="K1792" s="365" t="s">
        <v>116</v>
      </c>
      <c r="L1792" s="20"/>
    </row>
    <row r="1793" spans="1:13">
      <c r="D1793" s="18"/>
      <c r="E1793" s="596"/>
      <c r="F1793" s="597"/>
      <c r="G1793" s="597"/>
      <c r="H1793" s="597"/>
      <c r="I1793" s="597"/>
      <c r="J1793" s="598"/>
      <c r="K1793" s="348"/>
      <c r="L1793" s="20"/>
    </row>
    <row r="1794" spans="1:13">
      <c r="D1794" s="18"/>
      <c r="E1794" s="591" t="s">
        <v>2306</v>
      </c>
      <c r="F1794" s="592"/>
      <c r="G1794" s="592"/>
      <c r="H1794" s="592"/>
      <c r="I1794" s="327"/>
      <c r="J1794" s="308">
        <f>+J1792+J1785+J1778</f>
        <v>1805.67766132</v>
      </c>
      <c r="K1794" s="365" t="str">
        <f>+F1755</f>
        <v>ud</v>
      </c>
      <c r="L1794" s="20"/>
    </row>
    <row r="1795" spans="1:13">
      <c r="D1795" s="18"/>
      <c r="E1795" s="591" t="s">
        <v>2305</v>
      </c>
      <c r="F1795" s="592"/>
      <c r="G1795" s="592"/>
      <c r="H1795" s="592"/>
      <c r="I1795" s="406">
        <f>+$Q$9</f>
        <v>1.6902999999999999</v>
      </c>
      <c r="J1795" s="308">
        <f>+$Q$9*J1794</f>
        <v>3052.1369509291958</v>
      </c>
      <c r="K1795" s="365" t="str">
        <f>+F1755</f>
        <v>ud</v>
      </c>
      <c r="L1795" s="20"/>
    </row>
    <row r="1796" spans="1:13">
      <c r="A1796" s="14">
        <f>A1749+1</f>
        <v>38</v>
      </c>
      <c r="B1796" s="14" t="str">
        <f>"TR" &amp; TEXT(A1796,"##000")</f>
        <v>TR038</v>
      </c>
      <c r="C1796" s="14">
        <f>+C1749+1</f>
        <v>38</v>
      </c>
      <c r="D1796" s="18"/>
      <c r="E1796" s="591" t="s">
        <v>2304</v>
      </c>
      <c r="F1796" s="592"/>
      <c r="G1796" s="592"/>
      <c r="H1796" s="592"/>
      <c r="I1796" s="327"/>
      <c r="J1796" s="308">
        <f>+J1795</f>
        <v>3052.1369509291958</v>
      </c>
      <c r="K1796" s="365" t="str">
        <f>+F1755</f>
        <v>ud</v>
      </c>
      <c r="L1796" s="20"/>
    </row>
    <row r="1797" spans="1:13" ht="16.5" thickBot="1">
      <c r="D1797" s="21"/>
      <c r="E1797" s="30"/>
      <c r="F1797" s="30"/>
      <c r="G1797" s="30"/>
      <c r="H1797" s="30"/>
      <c r="I1797" s="30"/>
      <c r="J1797" s="30"/>
      <c r="K1797" s="349"/>
      <c r="L1797" s="22"/>
    </row>
    <row r="1798" spans="1:13" ht="16.5" thickTop="1">
      <c r="D1798" s="15"/>
      <c r="E1798" s="16"/>
      <c r="F1798" s="16"/>
      <c r="G1798" s="16"/>
      <c r="H1798" s="16"/>
      <c r="I1798" s="16"/>
      <c r="J1798" s="16"/>
      <c r="K1798" s="16"/>
      <c r="L1798" s="17"/>
    </row>
    <row r="1799" spans="1:13">
      <c r="A1799" s="14" t="s">
        <v>1860</v>
      </c>
      <c r="D1799" s="18"/>
      <c r="E1799" s="23" t="s">
        <v>95</v>
      </c>
      <c r="F1799" s="24" t="str">
        <f>VLOOKUP($A1799,DATRUB,3,FALSE)</f>
        <v>RUBRO XI:</v>
      </c>
      <c r="G1799" s="599" t="str">
        <f>VLOOKUP($A1799,DATRUB,4,FALSE)</f>
        <v>CARPINTERÍA METÁLICA y HERRERÍA</v>
      </c>
      <c r="H1799" s="599"/>
      <c r="I1799" s="599"/>
      <c r="J1799" s="599"/>
      <c r="K1799" s="599"/>
      <c r="L1799" s="20"/>
    </row>
    <row r="1800" spans="1:13" ht="35.1" customHeight="1">
      <c r="A1800" s="14" t="s">
        <v>1877</v>
      </c>
      <c r="D1800" s="18"/>
      <c r="E1800" s="23" t="s">
        <v>96</v>
      </c>
      <c r="F1800" s="399">
        <f>VLOOKUP($A1800,DATRUB,3,FALSE)</f>
        <v>11.1</v>
      </c>
      <c r="G1800" s="599" t="str">
        <f>VLOOKUP($A1800,DATRUB,4,FALSE)</f>
        <v>P1: 1,50 x 2,55</v>
      </c>
      <c r="H1800" s="599"/>
      <c r="I1800" s="599"/>
      <c r="J1800" s="599"/>
      <c r="K1800" s="599"/>
      <c r="L1800" s="20"/>
    </row>
    <row r="1801" spans="1:13" ht="35.1" customHeight="1">
      <c r="A1801" s="14" t="s">
        <v>1877</v>
      </c>
      <c r="D1801" s="18"/>
      <c r="E1801" s="23" t="s">
        <v>97</v>
      </c>
      <c r="F1801" s="399">
        <f>VLOOKUP($A1801,DATRUB,3,FALSE)</f>
        <v>11.1</v>
      </c>
      <c r="G1801" s="599" t="str">
        <f>VLOOKUP($A1801,DATRUB,4,FALSE)</f>
        <v>P1: 1,50 x 2,55</v>
      </c>
      <c r="H1801" s="599"/>
      <c r="I1801" s="599"/>
      <c r="J1801" s="599"/>
      <c r="K1801" s="599"/>
      <c r="L1801" s="20"/>
    </row>
    <row r="1802" spans="1:13">
      <c r="D1802" s="18"/>
      <c r="E1802" s="23" t="s">
        <v>98</v>
      </c>
      <c r="F1802" s="24" t="str">
        <f>VLOOKUP($A1801,DATRUB,5,FALSE)</f>
        <v>ud</v>
      </c>
      <c r="G1802" s="600"/>
      <c r="H1802" s="600"/>
      <c r="I1802" s="600"/>
      <c r="J1802" s="600"/>
      <c r="K1802" s="600"/>
      <c r="L1802" s="20"/>
    </row>
    <row r="1803" spans="1:13">
      <c r="D1803" s="18"/>
      <c r="E1803" s="24" t="s">
        <v>1158</v>
      </c>
      <c r="F1803" s="25" t="s">
        <v>1250</v>
      </c>
      <c r="G1803" s="24" t="s">
        <v>24</v>
      </c>
      <c r="H1803" s="24" t="s">
        <v>25</v>
      </c>
      <c r="I1803" s="24" t="s">
        <v>24</v>
      </c>
      <c r="J1803" s="24" t="s">
        <v>2298</v>
      </c>
      <c r="K1803" s="24" t="s">
        <v>24</v>
      </c>
      <c r="L1803" s="20"/>
    </row>
    <row r="1804" spans="1:13">
      <c r="D1804" s="18"/>
      <c r="E1804" s="593" t="s">
        <v>99</v>
      </c>
      <c r="F1804" s="594"/>
      <c r="G1804" s="594"/>
      <c r="H1804" s="594"/>
      <c r="I1804" s="594"/>
      <c r="J1804" s="594"/>
      <c r="K1804" s="595"/>
      <c r="L1804" s="20"/>
    </row>
    <row r="1805" spans="1:13">
      <c r="A1805" s="14" t="s">
        <v>2390</v>
      </c>
      <c r="D1805" s="18">
        <v>1</v>
      </c>
      <c r="E1805" s="355" t="str">
        <f t="shared" ref="E1805:E1824" si="342">VLOOKUP($A1805,MATMO,2,FALSE)</f>
        <v>P1: 1,50 x 2,55</v>
      </c>
      <c r="F1805" s="356">
        <v>1</v>
      </c>
      <c r="G1805" s="357" t="str">
        <f t="shared" ref="G1805:G1824" si="343">VLOOKUP($A1805,MATMO,3,FALSE)</f>
        <v>un</v>
      </c>
      <c r="H1805" s="358">
        <f t="shared" ref="H1805:H1824" si="344">VLOOKUP($A1805,MATMO,4,FALSE)*$Q$6</f>
        <v>16391.7</v>
      </c>
      <c r="I1805" s="359" t="str">
        <f t="shared" ref="I1805:I1824" si="345">+G1805</f>
        <v>un</v>
      </c>
      <c r="J1805" s="361">
        <f>+H1805*F1805</f>
        <v>16391.7</v>
      </c>
      <c r="K1805" s="360" t="s">
        <v>2299</v>
      </c>
      <c r="L1805" s="20"/>
      <c r="M1805" s="14" t="s">
        <v>2005</v>
      </c>
    </row>
    <row r="1806" spans="1:13">
      <c r="A1806" s="14" t="s">
        <v>31</v>
      </c>
      <c r="D1806" s="18">
        <v>2</v>
      </c>
      <c r="E1806" s="26" t="str">
        <f t="shared" si="342"/>
        <v>-</v>
      </c>
      <c r="F1806" s="311"/>
      <c r="G1806" s="307" t="str">
        <f t="shared" si="343"/>
        <v>-</v>
      </c>
      <c r="H1806" s="351">
        <f t="shared" si="344"/>
        <v>0</v>
      </c>
      <c r="I1806" s="537" t="str">
        <f t="shared" si="345"/>
        <v>-</v>
      </c>
      <c r="J1806" s="538">
        <f t="shared" ref="J1806:J1824" si="346">+H1806*F1806</f>
        <v>0</v>
      </c>
      <c r="K1806" s="539" t="s">
        <v>2299</v>
      </c>
      <c r="L1806" s="20"/>
    </row>
    <row r="1807" spans="1:13">
      <c r="A1807" s="14" t="s">
        <v>31</v>
      </c>
      <c r="D1807" s="18">
        <v>3</v>
      </c>
      <c r="E1807" s="26" t="str">
        <f t="shared" si="342"/>
        <v>-</v>
      </c>
      <c r="F1807" s="311"/>
      <c r="G1807" s="307" t="str">
        <f t="shared" si="343"/>
        <v>-</v>
      </c>
      <c r="H1807" s="351">
        <f t="shared" si="344"/>
        <v>0</v>
      </c>
      <c r="I1807" s="537" t="str">
        <f t="shared" si="345"/>
        <v>-</v>
      </c>
      <c r="J1807" s="538">
        <f t="shared" si="346"/>
        <v>0</v>
      </c>
      <c r="K1807" s="539" t="s">
        <v>2299</v>
      </c>
      <c r="L1807" s="20"/>
    </row>
    <row r="1808" spans="1:13">
      <c r="A1808" s="14" t="s">
        <v>31</v>
      </c>
      <c r="D1808" s="18">
        <v>4</v>
      </c>
      <c r="E1808" s="26" t="str">
        <f t="shared" si="342"/>
        <v>-</v>
      </c>
      <c r="F1808" s="311"/>
      <c r="G1808" s="307" t="str">
        <f t="shared" si="343"/>
        <v>-</v>
      </c>
      <c r="H1808" s="351">
        <f t="shared" si="344"/>
        <v>0</v>
      </c>
      <c r="I1808" s="537" t="str">
        <f t="shared" si="345"/>
        <v>-</v>
      </c>
      <c r="J1808" s="538">
        <f t="shared" si="346"/>
        <v>0</v>
      </c>
      <c r="K1808" s="539" t="s">
        <v>2299</v>
      </c>
      <c r="L1808" s="20"/>
    </row>
    <row r="1809" spans="1:12">
      <c r="A1809" s="14" t="s">
        <v>31</v>
      </c>
      <c r="D1809" s="18">
        <v>5</v>
      </c>
      <c r="E1809" s="26" t="str">
        <f t="shared" si="342"/>
        <v>-</v>
      </c>
      <c r="F1809" s="311"/>
      <c r="G1809" s="307" t="str">
        <f t="shared" si="343"/>
        <v>-</v>
      </c>
      <c r="H1809" s="351">
        <f t="shared" si="344"/>
        <v>0</v>
      </c>
      <c r="I1809" s="537" t="str">
        <f t="shared" si="345"/>
        <v>-</v>
      </c>
      <c r="J1809" s="538">
        <f t="shared" si="346"/>
        <v>0</v>
      </c>
      <c r="K1809" s="539" t="s">
        <v>2299</v>
      </c>
      <c r="L1809" s="20"/>
    </row>
    <row r="1810" spans="1:12">
      <c r="A1810" s="14" t="s">
        <v>31</v>
      </c>
      <c r="D1810" s="18">
        <v>6</v>
      </c>
      <c r="E1810" s="26" t="str">
        <f t="shared" si="342"/>
        <v>-</v>
      </c>
      <c r="F1810" s="311"/>
      <c r="G1810" s="307" t="str">
        <f t="shared" si="343"/>
        <v>-</v>
      </c>
      <c r="H1810" s="351">
        <f t="shared" si="344"/>
        <v>0</v>
      </c>
      <c r="I1810" s="537" t="str">
        <f t="shared" si="345"/>
        <v>-</v>
      </c>
      <c r="J1810" s="538">
        <f t="shared" si="346"/>
        <v>0</v>
      </c>
      <c r="K1810" s="539" t="s">
        <v>2299</v>
      </c>
      <c r="L1810" s="20"/>
    </row>
    <row r="1811" spans="1:12">
      <c r="A1811" s="14" t="s">
        <v>31</v>
      </c>
      <c r="D1811" s="18">
        <v>7</v>
      </c>
      <c r="E1811" s="26" t="str">
        <f t="shared" si="342"/>
        <v>-</v>
      </c>
      <c r="F1811" s="311"/>
      <c r="G1811" s="307" t="str">
        <f t="shared" si="343"/>
        <v>-</v>
      </c>
      <c r="H1811" s="351">
        <f t="shared" si="344"/>
        <v>0</v>
      </c>
      <c r="I1811" s="537" t="str">
        <f t="shared" si="345"/>
        <v>-</v>
      </c>
      <c r="J1811" s="538">
        <f t="shared" si="346"/>
        <v>0</v>
      </c>
      <c r="K1811" s="539" t="s">
        <v>2299</v>
      </c>
      <c r="L1811" s="20"/>
    </row>
    <row r="1812" spans="1:12">
      <c r="A1812" s="14" t="s">
        <v>31</v>
      </c>
      <c r="D1812" s="18">
        <v>8</v>
      </c>
      <c r="E1812" s="26" t="str">
        <f t="shared" si="342"/>
        <v>-</v>
      </c>
      <c r="F1812" s="311"/>
      <c r="G1812" s="307" t="str">
        <f t="shared" si="343"/>
        <v>-</v>
      </c>
      <c r="H1812" s="351">
        <f t="shared" si="344"/>
        <v>0</v>
      </c>
      <c r="I1812" s="537" t="str">
        <f t="shared" si="345"/>
        <v>-</v>
      </c>
      <c r="J1812" s="538">
        <f t="shared" si="346"/>
        <v>0</v>
      </c>
      <c r="K1812" s="539" t="s">
        <v>2299</v>
      </c>
      <c r="L1812" s="20"/>
    </row>
    <row r="1813" spans="1:12">
      <c r="A1813" s="14" t="s">
        <v>31</v>
      </c>
      <c r="D1813" s="18">
        <v>9</v>
      </c>
      <c r="E1813" s="26" t="str">
        <f t="shared" si="342"/>
        <v>-</v>
      </c>
      <c r="F1813" s="311"/>
      <c r="G1813" s="307" t="str">
        <f t="shared" si="343"/>
        <v>-</v>
      </c>
      <c r="H1813" s="351">
        <f t="shared" si="344"/>
        <v>0</v>
      </c>
      <c r="I1813" s="537" t="str">
        <f t="shared" si="345"/>
        <v>-</v>
      </c>
      <c r="J1813" s="538">
        <f t="shared" si="346"/>
        <v>0</v>
      </c>
      <c r="K1813" s="539" t="s">
        <v>2299</v>
      </c>
      <c r="L1813" s="20"/>
    </row>
    <row r="1814" spans="1:12">
      <c r="A1814" s="14" t="s">
        <v>31</v>
      </c>
      <c r="D1814" s="18">
        <v>10</v>
      </c>
      <c r="E1814" s="26" t="str">
        <f t="shared" si="342"/>
        <v>-</v>
      </c>
      <c r="F1814" s="311"/>
      <c r="G1814" s="307" t="str">
        <f t="shared" si="343"/>
        <v>-</v>
      </c>
      <c r="H1814" s="351">
        <f t="shared" si="344"/>
        <v>0</v>
      </c>
      <c r="I1814" s="537" t="str">
        <f t="shared" si="345"/>
        <v>-</v>
      </c>
      <c r="J1814" s="538">
        <f t="shared" si="346"/>
        <v>0</v>
      </c>
      <c r="K1814" s="539" t="s">
        <v>2299</v>
      </c>
      <c r="L1814" s="20"/>
    </row>
    <row r="1815" spans="1:12">
      <c r="A1815" s="14" t="s">
        <v>31</v>
      </c>
      <c r="D1815" s="18">
        <v>11</v>
      </c>
      <c r="E1815" s="26" t="str">
        <f t="shared" si="342"/>
        <v>-</v>
      </c>
      <c r="F1815" s="311"/>
      <c r="G1815" s="307" t="str">
        <f t="shared" si="343"/>
        <v>-</v>
      </c>
      <c r="H1815" s="351">
        <f t="shared" si="344"/>
        <v>0</v>
      </c>
      <c r="I1815" s="537" t="str">
        <f t="shared" si="345"/>
        <v>-</v>
      </c>
      <c r="J1815" s="538">
        <f t="shared" si="346"/>
        <v>0</v>
      </c>
      <c r="K1815" s="539" t="s">
        <v>2299</v>
      </c>
      <c r="L1815" s="20"/>
    </row>
    <row r="1816" spans="1:12">
      <c r="A1816" s="14" t="s">
        <v>31</v>
      </c>
      <c r="D1816" s="18">
        <v>12</v>
      </c>
      <c r="E1816" s="26" t="str">
        <f t="shared" si="342"/>
        <v>-</v>
      </c>
      <c r="F1816" s="311"/>
      <c r="G1816" s="307" t="str">
        <f t="shared" si="343"/>
        <v>-</v>
      </c>
      <c r="H1816" s="352">
        <f t="shared" si="344"/>
        <v>0</v>
      </c>
      <c r="I1816" s="537" t="str">
        <f t="shared" si="345"/>
        <v>-</v>
      </c>
      <c r="J1816" s="538">
        <f t="shared" si="346"/>
        <v>0</v>
      </c>
      <c r="K1816" s="539" t="s">
        <v>2299</v>
      </c>
      <c r="L1816" s="20"/>
    </row>
    <row r="1817" spans="1:12">
      <c r="A1817" s="14" t="s">
        <v>31</v>
      </c>
      <c r="D1817" s="18">
        <v>13</v>
      </c>
      <c r="E1817" s="26" t="str">
        <f t="shared" si="342"/>
        <v>-</v>
      </c>
      <c r="F1817" s="311"/>
      <c r="G1817" s="307" t="str">
        <f t="shared" si="343"/>
        <v>-</v>
      </c>
      <c r="H1817" s="352">
        <f t="shared" si="344"/>
        <v>0</v>
      </c>
      <c r="I1817" s="537" t="str">
        <f t="shared" si="345"/>
        <v>-</v>
      </c>
      <c r="J1817" s="538">
        <f t="shared" si="346"/>
        <v>0</v>
      </c>
      <c r="K1817" s="539" t="s">
        <v>2299</v>
      </c>
      <c r="L1817" s="20"/>
    </row>
    <row r="1818" spans="1:12">
      <c r="A1818" s="14" t="s">
        <v>31</v>
      </c>
      <c r="D1818" s="18">
        <v>14</v>
      </c>
      <c r="E1818" s="26" t="str">
        <f t="shared" si="342"/>
        <v>-</v>
      </c>
      <c r="F1818" s="311"/>
      <c r="G1818" s="307" t="str">
        <f t="shared" si="343"/>
        <v>-</v>
      </c>
      <c r="H1818" s="352">
        <f t="shared" si="344"/>
        <v>0</v>
      </c>
      <c r="I1818" s="537" t="str">
        <f t="shared" si="345"/>
        <v>-</v>
      </c>
      <c r="J1818" s="538">
        <f t="shared" si="346"/>
        <v>0</v>
      </c>
      <c r="K1818" s="539" t="s">
        <v>2299</v>
      </c>
      <c r="L1818" s="20"/>
    </row>
    <row r="1819" spans="1:12">
      <c r="A1819" s="14" t="s">
        <v>31</v>
      </c>
      <c r="D1819" s="18">
        <v>15</v>
      </c>
      <c r="E1819" s="26" t="str">
        <f t="shared" si="342"/>
        <v>-</v>
      </c>
      <c r="F1819" s="311"/>
      <c r="G1819" s="307" t="str">
        <f t="shared" si="343"/>
        <v>-</v>
      </c>
      <c r="H1819" s="352">
        <f t="shared" si="344"/>
        <v>0</v>
      </c>
      <c r="I1819" s="537" t="str">
        <f t="shared" si="345"/>
        <v>-</v>
      </c>
      <c r="J1819" s="538">
        <f t="shared" si="346"/>
        <v>0</v>
      </c>
      <c r="K1819" s="539" t="s">
        <v>2299</v>
      </c>
      <c r="L1819" s="20"/>
    </row>
    <row r="1820" spans="1:12">
      <c r="A1820" s="14" t="s">
        <v>31</v>
      </c>
      <c r="D1820" s="18">
        <v>16</v>
      </c>
      <c r="E1820" s="26" t="str">
        <f t="shared" si="342"/>
        <v>-</v>
      </c>
      <c r="F1820" s="311"/>
      <c r="G1820" s="307" t="str">
        <f t="shared" si="343"/>
        <v>-</v>
      </c>
      <c r="H1820" s="352">
        <f t="shared" si="344"/>
        <v>0</v>
      </c>
      <c r="I1820" s="537" t="str">
        <f t="shared" si="345"/>
        <v>-</v>
      </c>
      <c r="J1820" s="538">
        <f t="shared" si="346"/>
        <v>0</v>
      </c>
      <c r="K1820" s="539" t="s">
        <v>2299</v>
      </c>
      <c r="L1820" s="20"/>
    </row>
    <row r="1821" spans="1:12">
      <c r="A1821" s="14" t="s">
        <v>31</v>
      </c>
      <c r="D1821" s="18">
        <v>17</v>
      </c>
      <c r="E1821" s="26" t="str">
        <f t="shared" si="342"/>
        <v>-</v>
      </c>
      <c r="F1821" s="311"/>
      <c r="G1821" s="307" t="str">
        <f t="shared" si="343"/>
        <v>-</v>
      </c>
      <c r="H1821" s="352">
        <f t="shared" si="344"/>
        <v>0</v>
      </c>
      <c r="I1821" s="537" t="str">
        <f t="shared" si="345"/>
        <v>-</v>
      </c>
      <c r="J1821" s="538">
        <f t="shared" si="346"/>
        <v>0</v>
      </c>
      <c r="K1821" s="539" t="s">
        <v>2299</v>
      </c>
      <c r="L1821" s="20"/>
    </row>
    <row r="1822" spans="1:12">
      <c r="A1822" s="14" t="s">
        <v>31</v>
      </c>
      <c r="D1822" s="18">
        <v>18</v>
      </c>
      <c r="E1822" s="26" t="str">
        <f t="shared" si="342"/>
        <v>-</v>
      </c>
      <c r="F1822" s="311"/>
      <c r="G1822" s="307" t="str">
        <f t="shared" si="343"/>
        <v>-</v>
      </c>
      <c r="H1822" s="352">
        <f t="shared" si="344"/>
        <v>0</v>
      </c>
      <c r="I1822" s="537" t="str">
        <f t="shared" si="345"/>
        <v>-</v>
      </c>
      <c r="J1822" s="538">
        <f t="shared" si="346"/>
        <v>0</v>
      </c>
      <c r="K1822" s="539" t="s">
        <v>2299</v>
      </c>
      <c r="L1822" s="20"/>
    </row>
    <row r="1823" spans="1:12">
      <c r="A1823" s="14" t="s">
        <v>31</v>
      </c>
      <c r="D1823" s="18">
        <v>19</v>
      </c>
      <c r="E1823" s="26" t="str">
        <f t="shared" si="342"/>
        <v>-</v>
      </c>
      <c r="F1823" s="311"/>
      <c r="G1823" s="307" t="str">
        <f t="shared" si="343"/>
        <v>-</v>
      </c>
      <c r="H1823" s="352">
        <f t="shared" si="344"/>
        <v>0</v>
      </c>
      <c r="I1823" s="537" t="str">
        <f t="shared" si="345"/>
        <v>-</v>
      </c>
      <c r="J1823" s="538">
        <f t="shared" si="346"/>
        <v>0</v>
      </c>
      <c r="K1823" s="539" t="s">
        <v>2299</v>
      </c>
      <c r="L1823" s="20"/>
    </row>
    <row r="1824" spans="1:12">
      <c r="A1824" s="14" t="s">
        <v>31</v>
      </c>
      <c r="D1824" s="18">
        <v>20</v>
      </c>
      <c r="E1824" s="26" t="str">
        <f t="shared" si="342"/>
        <v>-</v>
      </c>
      <c r="F1824" s="311"/>
      <c r="G1824" s="307" t="str">
        <f t="shared" si="343"/>
        <v>-</v>
      </c>
      <c r="H1824" s="352">
        <f t="shared" si="344"/>
        <v>0</v>
      </c>
      <c r="I1824" s="537" t="str">
        <f t="shared" si="345"/>
        <v>-</v>
      </c>
      <c r="J1824" s="541">
        <f t="shared" si="346"/>
        <v>0</v>
      </c>
      <c r="K1824" s="539" t="s">
        <v>2299</v>
      </c>
      <c r="L1824" s="20"/>
    </row>
    <row r="1825" spans="1:19">
      <c r="A1825" s="14">
        <f>A1792+1</f>
        <v>39</v>
      </c>
      <c r="B1825" s="14" t="str">
        <f>"MA" &amp; TEXT(A1825,"##000")</f>
        <v>MA039</v>
      </c>
      <c r="D1825" s="18"/>
      <c r="E1825" s="591" t="s">
        <v>2302</v>
      </c>
      <c r="F1825" s="592"/>
      <c r="G1825" s="592"/>
      <c r="H1825" s="592"/>
      <c r="I1825" s="327"/>
      <c r="J1825" s="353">
        <f>SUM(J1805:J1824)</f>
        <v>16391.7</v>
      </c>
      <c r="K1825" s="365" t="str">
        <f>+F1802</f>
        <v>ud</v>
      </c>
      <c r="L1825" s="20"/>
      <c r="O1825" s="27" t="s">
        <v>1525</v>
      </c>
      <c r="P1825" s="110">
        <v>10</v>
      </c>
    </row>
    <row r="1826" spans="1:19">
      <c r="D1826" s="18"/>
      <c r="E1826" s="593" t="s">
        <v>100</v>
      </c>
      <c r="F1826" s="594"/>
      <c r="G1826" s="594"/>
      <c r="H1826" s="594"/>
      <c r="I1826" s="594"/>
      <c r="J1826" s="595"/>
      <c r="K1826" s="347"/>
      <c r="L1826" s="20"/>
      <c r="O1826" s="27" t="s">
        <v>1524</v>
      </c>
      <c r="P1826" s="110">
        <v>0</v>
      </c>
    </row>
    <row r="1827" spans="1:19">
      <c r="A1827" s="14" t="s">
        <v>84</v>
      </c>
      <c r="D1827" s="18">
        <v>1</v>
      </c>
      <c r="E1827" s="26" t="str">
        <f>VLOOKUP($A1827,MATMO,2,FALSE)</f>
        <v>Oficial</v>
      </c>
      <c r="F1827" s="311">
        <v>0.15</v>
      </c>
      <c r="G1827" s="307" t="str">
        <f>VLOOKUP($A1827,MATMO,3,FALSE)</f>
        <v>hs</v>
      </c>
      <c r="H1827" s="110">
        <f>VLOOKUP($A1827,MATMO,4,FALSE)*$Q$7</f>
        <v>55.38</v>
      </c>
      <c r="I1827" s="354" t="str">
        <f t="shared" ref="I1827:I1831" si="347">+G1827</f>
        <v>hs</v>
      </c>
      <c r="J1827" s="350">
        <f t="shared" ref="J1827:J1831" si="348">+H1827*F1827</f>
        <v>8.3070000000000004</v>
      </c>
      <c r="K1827" s="360" t="s">
        <v>2299</v>
      </c>
      <c r="L1827" s="20"/>
      <c r="M1827" s="14" t="s">
        <v>2006</v>
      </c>
      <c r="O1827" s="27" t="s">
        <v>1526</v>
      </c>
      <c r="P1827" s="110">
        <v>0</v>
      </c>
    </row>
    <row r="1828" spans="1:19">
      <c r="A1828" s="14" t="s">
        <v>85</v>
      </c>
      <c r="D1828" s="18">
        <v>2</v>
      </c>
      <c r="E1828" s="26" t="str">
        <f>VLOOKUP($A1828,MATMO,2,FALSE)</f>
        <v>Ayudante</v>
      </c>
      <c r="F1828" s="311">
        <v>0.05</v>
      </c>
      <c r="G1828" s="307" t="str">
        <f>VLOOKUP($A1828,MATMO,3,FALSE)</f>
        <v>hs</v>
      </c>
      <c r="H1828" s="110">
        <f>VLOOKUP($A1828,MATMO,4,FALSE)*$Q$7</f>
        <v>46.87</v>
      </c>
      <c r="I1828" s="354" t="str">
        <f t="shared" si="347"/>
        <v>hs</v>
      </c>
      <c r="J1828" s="350">
        <f t="shared" si="348"/>
        <v>2.3435000000000001</v>
      </c>
      <c r="K1828" s="360" t="s">
        <v>2299</v>
      </c>
      <c r="L1828" s="20"/>
      <c r="O1828" s="27" t="s">
        <v>1527</v>
      </c>
      <c r="P1828" s="110">
        <v>0</v>
      </c>
    </row>
    <row r="1829" spans="1:19">
      <c r="A1829" s="14" t="s">
        <v>2311</v>
      </c>
      <c r="D1829" s="18">
        <v>3</v>
      </c>
      <c r="E1829" s="26" t="str">
        <f>VLOOKUP($A1829,MATMO,2,FALSE)</f>
        <v>Cargas Sociales Oficial</v>
      </c>
      <c r="F1829" s="311">
        <f>+F1827</f>
        <v>0.15</v>
      </c>
      <c r="G1829" s="307" t="str">
        <f>VLOOKUP($A1829,MATMO,3,FALSE)</f>
        <v>hs</v>
      </c>
      <c r="H1829" s="110">
        <f>VLOOKUP($A1829,MATMO,4,FALSE)*$Q$7</f>
        <v>52.742782499999997</v>
      </c>
      <c r="I1829" s="354" t="str">
        <f t="shared" si="347"/>
        <v>hs</v>
      </c>
      <c r="J1829" s="350">
        <f t="shared" si="348"/>
        <v>7.9114173749999992</v>
      </c>
      <c r="K1829" s="360" t="s">
        <v>2299</v>
      </c>
      <c r="L1829" s="20"/>
      <c r="O1829" s="27"/>
      <c r="P1829" s="110">
        <v>0</v>
      </c>
    </row>
    <row r="1830" spans="1:19">
      <c r="A1830" s="14" t="s">
        <v>2312</v>
      </c>
      <c r="D1830" s="18">
        <v>4</v>
      </c>
      <c r="E1830" s="26" t="str">
        <f>VLOOKUP($A1830,MATMO,2,FALSE)</f>
        <v>Cargas Sociales Ayudante</v>
      </c>
      <c r="F1830" s="311">
        <f>+F1828</f>
        <v>0.05</v>
      </c>
      <c r="G1830" s="307" t="str">
        <f>VLOOKUP($A1830,MATMO,3,FALSE)</f>
        <v>hs</v>
      </c>
      <c r="H1830" s="110">
        <f>VLOOKUP($A1830,MATMO,4,FALSE)*$Q$7</f>
        <v>45.108248750000001</v>
      </c>
      <c r="I1830" s="354" t="str">
        <f t="shared" si="347"/>
        <v>hs</v>
      </c>
      <c r="J1830" s="350">
        <f t="shared" si="348"/>
        <v>2.2554124375</v>
      </c>
      <c r="K1830" s="360" t="s">
        <v>2299</v>
      </c>
      <c r="L1830" s="20"/>
      <c r="O1830" s="27"/>
      <c r="P1830" s="110">
        <v>0</v>
      </c>
    </row>
    <row r="1831" spans="1:19" ht="16.5" thickBot="1">
      <c r="A1831" s="14" t="s">
        <v>83</v>
      </c>
      <c r="D1831" s="18">
        <v>5</v>
      </c>
      <c r="E1831" s="26" t="str">
        <f>VLOOKUP($A1831,MATMO,2,FALSE)</f>
        <v>-</v>
      </c>
      <c r="F1831" s="311"/>
      <c r="G1831" s="307" t="str">
        <f>VLOOKUP($A1831,MATMO,3,FALSE)</f>
        <v>-</v>
      </c>
      <c r="H1831" s="110">
        <f>VLOOKUP($A1831,MATMO,4,FALSE)*$Q$7</f>
        <v>0</v>
      </c>
      <c r="I1831" s="537" t="str">
        <f t="shared" si="347"/>
        <v>-</v>
      </c>
      <c r="J1831" s="538">
        <f t="shared" si="348"/>
        <v>0</v>
      </c>
      <c r="K1831" s="539" t="s">
        <v>2299</v>
      </c>
      <c r="L1831" s="20"/>
      <c r="O1831" s="27"/>
      <c r="P1831" s="110">
        <v>0</v>
      </c>
      <c r="R1831" s="29" t="s">
        <v>2307</v>
      </c>
    </row>
    <row r="1832" spans="1:19" ht="16.5" thickBot="1">
      <c r="A1832" s="14">
        <f>A1792+1</f>
        <v>39</v>
      </c>
      <c r="B1832" s="14" t="str">
        <f>"MO" &amp; TEXT(A1832,"##000")</f>
        <v>MO039</v>
      </c>
      <c r="D1832" s="18"/>
      <c r="E1832" s="591" t="s">
        <v>2301</v>
      </c>
      <c r="F1832" s="592"/>
      <c r="G1832" s="592"/>
      <c r="H1832" s="592"/>
      <c r="I1832" s="327"/>
      <c r="J1832" s="362">
        <f>SUM(J1827:J1831)</f>
        <v>20.817329812499999</v>
      </c>
      <c r="K1832" s="365" t="str">
        <f>+G1827</f>
        <v>hs</v>
      </c>
      <c r="L1832" s="20"/>
      <c r="N1832" s="111">
        <f>+P1832+R1832</f>
        <v>19</v>
      </c>
      <c r="O1832" s="27"/>
      <c r="P1832" s="27">
        <f>SUM(P1825:P1831)</f>
        <v>10</v>
      </c>
      <c r="Q1832" s="26">
        <v>0.9</v>
      </c>
      <c r="R1832" s="287">
        <f>+Q1832*P1832</f>
        <v>9</v>
      </c>
      <c r="S1832" s="288"/>
    </row>
    <row r="1833" spans="1:19">
      <c r="D1833" s="18"/>
      <c r="E1833" s="593" t="s">
        <v>101</v>
      </c>
      <c r="F1833" s="594"/>
      <c r="G1833" s="594"/>
      <c r="H1833" s="594"/>
      <c r="I1833" s="594"/>
      <c r="J1833" s="595"/>
      <c r="K1833" s="347"/>
      <c r="L1833" s="20"/>
      <c r="P1833" s="14" t="s">
        <v>2308</v>
      </c>
    </row>
    <row r="1834" spans="1:19">
      <c r="A1834" s="14" t="s">
        <v>119</v>
      </c>
      <c r="D1834" s="18">
        <v>1</v>
      </c>
      <c r="E1834" s="26" t="str">
        <f>VLOOKUP($A1834,MATMO,2,FALSE)</f>
        <v>Herramientas de Mano</v>
      </c>
      <c r="F1834" s="311">
        <v>1</v>
      </c>
      <c r="G1834" s="307" t="str">
        <f>VLOOKUP($A1834,MATMO,3,FALSE)</f>
        <v>gl</v>
      </c>
      <c r="H1834" s="110">
        <f>+(J1825+J1832)*$Q$5</f>
        <v>656.50069319250008</v>
      </c>
      <c r="I1834" s="345" t="str">
        <f>+G1834</f>
        <v>gl</v>
      </c>
      <c r="J1834" s="350">
        <f t="shared" ref="J1834:J1838" si="349">+H1834*F1834</f>
        <v>656.50069319250008</v>
      </c>
      <c r="K1834" s="360" t="s">
        <v>2299</v>
      </c>
      <c r="L1834" s="20"/>
      <c r="M1834" s="14" t="s">
        <v>2004</v>
      </c>
    </row>
    <row r="1835" spans="1:19">
      <c r="A1835" s="14" t="s">
        <v>118</v>
      </c>
      <c r="D1835" s="18">
        <v>2</v>
      </c>
      <c r="E1835" s="26" t="str">
        <f>VLOOKUP($A1835,MATMO,2,FALSE)</f>
        <v>-</v>
      </c>
      <c r="F1835" s="311"/>
      <c r="G1835" s="307" t="str">
        <f>VLOOKUP($A1835,MATMO,3,FALSE)</f>
        <v>-</v>
      </c>
      <c r="H1835" s="110">
        <f>VLOOKUP($A1835,MATMO,4,FALSE)*$Q$6</f>
        <v>0</v>
      </c>
      <c r="I1835" s="543" t="str">
        <f t="shared" ref="I1835:I1838" si="350">+G1835</f>
        <v>-</v>
      </c>
      <c r="J1835" s="538">
        <f t="shared" si="349"/>
        <v>0</v>
      </c>
      <c r="K1835" s="539" t="s">
        <v>2299</v>
      </c>
      <c r="L1835" s="20"/>
    </row>
    <row r="1836" spans="1:19">
      <c r="A1836" s="14" t="s">
        <v>118</v>
      </c>
      <c r="D1836" s="18">
        <v>3</v>
      </c>
      <c r="E1836" s="26" t="str">
        <f>VLOOKUP($A1836,MATMO,2,FALSE)</f>
        <v>-</v>
      </c>
      <c r="F1836" s="311"/>
      <c r="G1836" s="307" t="str">
        <f>VLOOKUP($A1836,MATMO,3,FALSE)</f>
        <v>-</v>
      </c>
      <c r="H1836" s="110">
        <f>VLOOKUP($A1836,MATMO,4,FALSE)*$Q$6</f>
        <v>0</v>
      </c>
      <c r="I1836" s="543" t="str">
        <f t="shared" si="350"/>
        <v>-</v>
      </c>
      <c r="J1836" s="538">
        <f t="shared" si="349"/>
        <v>0</v>
      </c>
      <c r="K1836" s="539" t="s">
        <v>2299</v>
      </c>
      <c r="L1836" s="20"/>
    </row>
    <row r="1837" spans="1:19">
      <c r="A1837" s="14" t="s">
        <v>118</v>
      </c>
      <c r="D1837" s="18">
        <v>4</v>
      </c>
      <c r="E1837" s="26" t="str">
        <f>VLOOKUP($A1837,MATMO,2,FALSE)</f>
        <v>-</v>
      </c>
      <c r="F1837" s="311"/>
      <c r="G1837" s="307" t="str">
        <f>VLOOKUP($A1837,MATMO,3,FALSE)</f>
        <v>-</v>
      </c>
      <c r="H1837" s="110">
        <f>VLOOKUP($A1837,MATMO,4,FALSE)*$Q$6</f>
        <v>0</v>
      </c>
      <c r="I1837" s="543" t="str">
        <f t="shared" si="350"/>
        <v>-</v>
      </c>
      <c r="J1837" s="538">
        <f t="shared" si="349"/>
        <v>0</v>
      </c>
      <c r="K1837" s="539" t="s">
        <v>2299</v>
      </c>
      <c r="L1837" s="20"/>
    </row>
    <row r="1838" spans="1:19">
      <c r="A1838" s="14" t="s">
        <v>118</v>
      </c>
      <c r="D1838" s="18">
        <v>5</v>
      </c>
      <c r="E1838" s="26" t="str">
        <f>VLOOKUP($A1838,MATMO,2,FALSE)</f>
        <v>-</v>
      </c>
      <c r="F1838" s="311"/>
      <c r="G1838" s="307" t="str">
        <f>VLOOKUP($A1838,MATMO,3,FALSE)</f>
        <v>-</v>
      </c>
      <c r="H1838" s="110">
        <f>VLOOKUP($A1838,MATMO,4,FALSE)*$Q$6</f>
        <v>0</v>
      </c>
      <c r="I1838" s="543" t="str">
        <f t="shared" si="350"/>
        <v>-</v>
      </c>
      <c r="J1838" s="538">
        <f t="shared" si="349"/>
        <v>0</v>
      </c>
      <c r="K1838" s="539" t="s">
        <v>2299</v>
      </c>
      <c r="L1838" s="20"/>
    </row>
    <row r="1839" spans="1:19">
      <c r="A1839" s="14">
        <f>A1792+1</f>
        <v>39</v>
      </c>
      <c r="B1839" s="14" t="str">
        <f>"E" &amp; TEXT(A1839,"##000")</f>
        <v>E039</v>
      </c>
      <c r="D1839" s="18"/>
      <c r="E1839" s="591" t="s">
        <v>2300</v>
      </c>
      <c r="F1839" s="592"/>
      <c r="G1839" s="592"/>
      <c r="H1839" s="592"/>
      <c r="I1839" s="327"/>
      <c r="J1839" s="362">
        <f>SUM(J1834:J1838)</f>
        <v>656.50069319250008</v>
      </c>
      <c r="K1839" s="365" t="s">
        <v>116</v>
      </c>
      <c r="L1839" s="20"/>
    </row>
    <row r="1840" spans="1:19">
      <c r="D1840" s="18"/>
      <c r="E1840" s="596"/>
      <c r="F1840" s="597"/>
      <c r="G1840" s="597"/>
      <c r="H1840" s="597"/>
      <c r="I1840" s="597"/>
      <c r="J1840" s="598"/>
      <c r="K1840" s="348"/>
      <c r="L1840" s="20"/>
    </row>
    <row r="1841" spans="1:13">
      <c r="D1841" s="18"/>
      <c r="E1841" s="591" t="s">
        <v>2306</v>
      </c>
      <c r="F1841" s="592"/>
      <c r="G1841" s="592"/>
      <c r="H1841" s="592"/>
      <c r="I1841" s="327"/>
      <c r="J1841" s="308">
        <f>+J1839+J1832+J1825</f>
        <v>17069.018023004999</v>
      </c>
      <c r="K1841" s="365" t="str">
        <f>+F1802</f>
        <v>ud</v>
      </c>
      <c r="L1841" s="20"/>
    </row>
    <row r="1842" spans="1:13">
      <c r="D1842" s="18"/>
      <c r="E1842" s="591" t="s">
        <v>2305</v>
      </c>
      <c r="F1842" s="592"/>
      <c r="G1842" s="592"/>
      <c r="H1842" s="592"/>
      <c r="I1842" s="327"/>
      <c r="J1842" s="308">
        <f>+$Q$9*J1841</f>
        <v>28851.761164285348</v>
      </c>
      <c r="K1842" s="365" t="str">
        <f>+F1802</f>
        <v>ud</v>
      </c>
      <c r="L1842" s="20"/>
    </row>
    <row r="1843" spans="1:13">
      <c r="A1843" s="14">
        <f>A1796+1</f>
        <v>39</v>
      </c>
      <c r="B1843" s="14" t="str">
        <f>"TR" &amp; TEXT(A1843,"##000")</f>
        <v>TR039</v>
      </c>
      <c r="C1843" s="14">
        <f>+C1796+1</f>
        <v>39</v>
      </c>
      <c r="D1843" s="18"/>
      <c r="E1843" s="591" t="s">
        <v>2304</v>
      </c>
      <c r="F1843" s="592"/>
      <c r="G1843" s="592"/>
      <c r="H1843" s="592"/>
      <c r="I1843" s="327"/>
      <c r="J1843" s="308">
        <f>+J1842</f>
        <v>28851.761164285348</v>
      </c>
      <c r="K1843" s="365" t="str">
        <f>+F1802</f>
        <v>ud</v>
      </c>
      <c r="L1843" s="20"/>
    </row>
    <row r="1844" spans="1:13" ht="16.5" thickBot="1">
      <c r="D1844" s="21"/>
      <c r="E1844" s="30"/>
      <c r="F1844" s="30"/>
      <c r="G1844" s="30"/>
      <c r="H1844" s="30"/>
      <c r="I1844" s="30"/>
      <c r="J1844" s="30"/>
      <c r="K1844" s="349"/>
      <c r="L1844" s="22"/>
    </row>
    <row r="1845" spans="1:13" ht="16.5" thickTop="1">
      <c r="D1845" s="15"/>
      <c r="E1845" s="16"/>
      <c r="F1845" s="16"/>
      <c r="G1845" s="16"/>
      <c r="H1845" s="16"/>
      <c r="I1845" s="16"/>
      <c r="J1845" s="16"/>
      <c r="K1845" s="16"/>
      <c r="L1845" s="17"/>
    </row>
    <row r="1846" spans="1:13">
      <c r="A1846" s="14" t="s">
        <v>1860</v>
      </c>
      <c r="D1846" s="18"/>
      <c r="E1846" s="23" t="s">
        <v>95</v>
      </c>
      <c r="F1846" s="24" t="str">
        <f>VLOOKUP($A1846,DATRUB,3,FALSE)</f>
        <v>RUBRO XI:</v>
      </c>
      <c r="G1846" s="599" t="str">
        <f>VLOOKUP($A1846,DATRUB,4,FALSE)</f>
        <v>CARPINTERÍA METÁLICA y HERRERÍA</v>
      </c>
      <c r="H1846" s="599"/>
      <c r="I1846" s="599"/>
      <c r="J1846" s="599"/>
      <c r="K1846" s="599"/>
      <c r="L1846" s="20"/>
    </row>
    <row r="1847" spans="1:13" ht="35.1" customHeight="1">
      <c r="A1847" s="14" t="s">
        <v>1861</v>
      </c>
      <c r="D1847" s="18"/>
      <c r="E1847" s="23" t="s">
        <v>96</v>
      </c>
      <c r="F1847" s="399">
        <f>VLOOKUP($A1847,DATRUB,3,FALSE)</f>
        <v>11.2</v>
      </c>
      <c r="G1847" s="599" t="str">
        <f>VLOOKUP($A1847,DATRUB,4,FALSE)</f>
        <v>P2: 1,00 x 2,55 Marco (Acceso Baños)</v>
      </c>
      <c r="H1847" s="599"/>
      <c r="I1847" s="599"/>
      <c r="J1847" s="599"/>
      <c r="K1847" s="599"/>
      <c r="L1847" s="20"/>
    </row>
    <row r="1848" spans="1:13" ht="35.1" customHeight="1">
      <c r="A1848" s="14" t="s">
        <v>1861</v>
      </c>
      <c r="D1848" s="18"/>
      <c r="E1848" s="23" t="s">
        <v>97</v>
      </c>
      <c r="F1848" s="399">
        <f>VLOOKUP($A1848,DATRUB,3,FALSE)</f>
        <v>11.2</v>
      </c>
      <c r="G1848" s="599" t="str">
        <f>VLOOKUP($A1848,DATRUB,4,FALSE)</f>
        <v>P2: 1,00 x 2,55 Marco (Acceso Baños)</v>
      </c>
      <c r="H1848" s="599"/>
      <c r="I1848" s="599"/>
      <c r="J1848" s="599"/>
      <c r="K1848" s="599"/>
      <c r="L1848" s="20"/>
    </row>
    <row r="1849" spans="1:13">
      <c r="D1849" s="18"/>
      <c r="E1849" s="23" t="s">
        <v>98</v>
      </c>
      <c r="F1849" s="24" t="str">
        <f>VLOOKUP($A1848,DATRUB,5,FALSE)</f>
        <v>ud</v>
      </c>
      <c r="G1849" s="600"/>
      <c r="H1849" s="600"/>
      <c r="I1849" s="600"/>
      <c r="J1849" s="600"/>
      <c r="K1849" s="600"/>
      <c r="L1849" s="20"/>
    </row>
    <row r="1850" spans="1:13">
      <c r="D1850" s="18"/>
      <c r="E1850" s="24" t="s">
        <v>1158</v>
      </c>
      <c r="F1850" s="25" t="s">
        <v>1250</v>
      </c>
      <c r="G1850" s="24" t="s">
        <v>24</v>
      </c>
      <c r="H1850" s="24" t="s">
        <v>25</v>
      </c>
      <c r="I1850" s="24" t="s">
        <v>24</v>
      </c>
      <c r="J1850" s="24" t="s">
        <v>2298</v>
      </c>
      <c r="K1850" s="24" t="s">
        <v>24</v>
      </c>
      <c r="L1850" s="20"/>
    </row>
    <row r="1851" spans="1:13">
      <c r="D1851" s="18"/>
      <c r="E1851" s="593" t="s">
        <v>99</v>
      </c>
      <c r="F1851" s="594"/>
      <c r="G1851" s="594"/>
      <c r="H1851" s="594"/>
      <c r="I1851" s="594"/>
      <c r="J1851" s="594"/>
      <c r="K1851" s="595"/>
      <c r="L1851" s="20"/>
    </row>
    <row r="1852" spans="1:13">
      <c r="A1852" s="14" t="s">
        <v>2438</v>
      </c>
      <c r="D1852" s="18">
        <v>1</v>
      </c>
      <c r="E1852" s="355" t="str">
        <f t="shared" ref="E1852:E1871" si="351">VLOOKUP($A1852,MATMO,2,FALSE)</f>
        <v>P2: 1,00 x 2,55 Marco (Acceso Baños)</v>
      </c>
      <c r="F1852" s="356">
        <v>1</v>
      </c>
      <c r="G1852" s="357" t="str">
        <f t="shared" ref="G1852:G1871" si="352">VLOOKUP($A1852,MATMO,3,FALSE)</f>
        <v>un</v>
      </c>
      <c r="H1852" s="358">
        <f t="shared" ref="H1852:H1871" si="353">VLOOKUP($A1852,MATMO,4,FALSE)*$Q$6</f>
        <v>4000</v>
      </c>
      <c r="I1852" s="359" t="str">
        <f t="shared" ref="I1852:I1871" si="354">+G1852</f>
        <v>un</v>
      </c>
      <c r="J1852" s="361">
        <f>+H1852*F1852</f>
        <v>4000</v>
      </c>
      <c r="K1852" s="360" t="s">
        <v>2299</v>
      </c>
      <c r="L1852" s="20"/>
      <c r="M1852" s="14" t="s">
        <v>2005</v>
      </c>
    </row>
    <row r="1853" spans="1:13">
      <c r="A1853" s="14" t="s">
        <v>31</v>
      </c>
      <c r="D1853" s="18">
        <v>2</v>
      </c>
      <c r="E1853" s="26" t="str">
        <f t="shared" si="351"/>
        <v>-</v>
      </c>
      <c r="F1853" s="311"/>
      <c r="G1853" s="307" t="str">
        <f t="shared" si="352"/>
        <v>-</v>
      </c>
      <c r="H1853" s="351">
        <f t="shared" si="353"/>
        <v>0</v>
      </c>
      <c r="I1853" s="537" t="str">
        <f t="shared" si="354"/>
        <v>-</v>
      </c>
      <c r="J1853" s="538">
        <f t="shared" ref="J1853:J1871" si="355">+H1853*F1853</f>
        <v>0</v>
      </c>
      <c r="K1853" s="539" t="s">
        <v>2299</v>
      </c>
      <c r="L1853" s="20"/>
    </row>
    <row r="1854" spans="1:13">
      <c r="A1854" s="14" t="s">
        <v>31</v>
      </c>
      <c r="D1854" s="18">
        <v>3</v>
      </c>
      <c r="E1854" s="26" t="str">
        <f t="shared" si="351"/>
        <v>-</v>
      </c>
      <c r="F1854" s="311"/>
      <c r="G1854" s="307" t="str">
        <f t="shared" si="352"/>
        <v>-</v>
      </c>
      <c r="H1854" s="351">
        <f t="shared" si="353"/>
        <v>0</v>
      </c>
      <c r="I1854" s="537" t="str">
        <f t="shared" si="354"/>
        <v>-</v>
      </c>
      <c r="J1854" s="538">
        <f t="shared" si="355"/>
        <v>0</v>
      </c>
      <c r="K1854" s="539" t="s">
        <v>2299</v>
      </c>
      <c r="L1854" s="20"/>
    </row>
    <row r="1855" spans="1:13">
      <c r="A1855" s="14" t="s">
        <v>31</v>
      </c>
      <c r="D1855" s="18">
        <v>4</v>
      </c>
      <c r="E1855" s="26" t="str">
        <f t="shared" si="351"/>
        <v>-</v>
      </c>
      <c r="F1855" s="311"/>
      <c r="G1855" s="307" t="str">
        <f t="shared" si="352"/>
        <v>-</v>
      </c>
      <c r="H1855" s="351">
        <f t="shared" si="353"/>
        <v>0</v>
      </c>
      <c r="I1855" s="537" t="str">
        <f t="shared" si="354"/>
        <v>-</v>
      </c>
      <c r="J1855" s="538">
        <f t="shared" si="355"/>
        <v>0</v>
      </c>
      <c r="K1855" s="539" t="s">
        <v>2299</v>
      </c>
      <c r="L1855" s="20"/>
    </row>
    <row r="1856" spans="1:13">
      <c r="A1856" s="14" t="s">
        <v>31</v>
      </c>
      <c r="D1856" s="18">
        <v>5</v>
      </c>
      <c r="E1856" s="26" t="str">
        <f t="shared" si="351"/>
        <v>-</v>
      </c>
      <c r="F1856" s="311"/>
      <c r="G1856" s="307" t="str">
        <f t="shared" si="352"/>
        <v>-</v>
      </c>
      <c r="H1856" s="351">
        <f t="shared" si="353"/>
        <v>0</v>
      </c>
      <c r="I1856" s="537" t="str">
        <f t="shared" si="354"/>
        <v>-</v>
      </c>
      <c r="J1856" s="538">
        <f t="shared" si="355"/>
        <v>0</v>
      </c>
      <c r="K1856" s="539" t="s">
        <v>2299</v>
      </c>
      <c r="L1856" s="20"/>
    </row>
    <row r="1857" spans="1:16">
      <c r="A1857" s="14" t="s">
        <v>31</v>
      </c>
      <c r="D1857" s="18">
        <v>6</v>
      </c>
      <c r="E1857" s="26" t="str">
        <f t="shared" si="351"/>
        <v>-</v>
      </c>
      <c r="F1857" s="311"/>
      <c r="G1857" s="307" t="str">
        <f t="shared" si="352"/>
        <v>-</v>
      </c>
      <c r="H1857" s="351">
        <f t="shared" si="353"/>
        <v>0</v>
      </c>
      <c r="I1857" s="537" t="str">
        <f t="shared" si="354"/>
        <v>-</v>
      </c>
      <c r="J1857" s="538">
        <f t="shared" si="355"/>
        <v>0</v>
      </c>
      <c r="K1857" s="539" t="s">
        <v>2299</v>
      </c>
      <c r="L1857" s="20"/>
    </row>
    <row r="1858" spans="1:16">
      <c r="A1858" s="14" t="s">
        <v>31</v>
      </c>
      <c r="D1858" s="18">
        <v>7</v>
      </c>
      <c r="E1858" s="26" t="str">
        <f t="shared" si="351"/>
        <v>-</v>
      </c>
      <c r="F1858" s="311"/>
      <c r="G1858" s="307" t="str">
        <f t="shared" si="352"/>
        <v>-</v>
      </c>
      <c r="H1858" s="351">
        <f t="shared" si="353"/>
        <v>0</v>
      </c>
      <c r="I1858" s="537" t="str">
        <f t="shared" si="354"/>
        <v>-</v>
      </c>
      <c r="J1858" s="538">
        <f t="shared" si="355"/>
        <v>0</v>
      </c>
      <c r="K1858" s="539" t="s">
        <v>2299</v>
      </c>
      <c r="L1858" s="20"/>
    </row>
    <row r="1859" spans="1:16">
      <c r="A1859" s="14" t="s">
        <v>31</v>
      </c>
      <c r="D1859" s="18">
        <v>8</v>
      </c>
      <c r="E1859" s="26" t="str">
        <f t="shared" si="351"/>
        <v>-</v>
      </c>
      <c r="F1859" s="311"/>
      <c r="G1859" s="307" t="str">
        <f t="shared" si="352"/>
        <v>-</v>
      </c>
      <c r="H1859" s="351">
        <f t="shared" si="353"/>
        <v>0</v>
      </c>
      <c r="I1859" s="537" t="str">
        <f t="shared" si="354"/>
        <v>-</v>
      </c>
      <c r="J1859" s="538">
        <f t="shared" si="355"/>
        <v>0</v>
      </c>
      <c r="K1859" s="539" t="s">
        <v>2299</v>
      </c>
      <c r="L1859" s="20"/>
    </row>
    <row r="1860" spans="1:16">
      <c r="A1860" s="14" t="s">
        <v>31</v>
      </c>
      <c r="D1860" s="18">
        <v>9</v>
      </c>
      <c r="E1860" s="26" t="str">
        <f t="shared" si="351"/>
        <v>-</v>
      </c>
      <c r="F1860" s="311"/>
      <c r="G1860" s="307" t="str">
        <f t="shared" si="352"/>
        <v>-</v>
      </c>
      <c r="H1860" s="351">
        <f t="shared" si="353"/>
        <v>0</v>
      </c>
      <c r="I1860" s="537" t="str">
        <f t="shared" si="354"/>
        <v>-</v>
      </c>
      <c r="J1860" s="538">
        <f t="shared" si="355"/>
        <v>0</v>
      </c>
      <c r="K1860" s="539" t="s">
        <v>2299</v>
      </c>
      <c r="L1860" s="20"/>
    </row>
    <row r="1861" spans="1:16">
      <c r="A1861" s="14" t="s">
        <v>31</v>
      </c>
      <c r="D1861" s="18">
        <v>10</v>
      </c>
      <c r="E1861" s="26" t="str">
        <f t="shared" si="351"/>
        <v>-</v>
      </c>
      <c r="F1861" s="311"/>
      <c r="G1861" s="307" t="str">
        <f t="shared" si="352"/>
        <v>-</v>
      </c>
      <c r="H1861" s="351">
        <f t="shared" si="353"/>
        <v>0</v>
      </c>
      <c r="I1861" s="537" t="str">
        <f t="shared" si="354"/>
        <v>-</v>
      </c>
      <c r="J1861" s="538">
        <f t="shared" si="355"/>
        <v>0</v>
      </c>
      <c r="K1861" s="539" t="s">
        <v>2299</v>
      </c>
      <c r="L1861" s="20"/>
    </row>
    <row r="1862" spans="1:16">
      <c r="A1862" s="14" t="s">
        <v>31</v>
      </c>
      <c r="D1862" s="18">
        <v>11</v>
      </c>
      <c r="E1862" s="26" t="str">
        <f t="shared" si="351"/>
        <v>-</v>
      </c>
      <c r="F1862" s="311"/>
      <c r="G1862" s="307" t="str">
        <f t="shared" si="352"/>
        <v>-</v>
      </c>
      <c r="H1862" s="351">
        <f t="shared" si="353"/>
        <v>0</v>
      </c>
      <c r="I1862" s="537" t="str">
        <f t="shared" si="354"/>
        <v>-</v>
      </c>
      <c r="J1862" s="538">
        <f t="shared" si="355"/>
        <v>0</v>
      </c>
      <c r="K1862" s="539" t="s">
        <v>2299</v>
      </c>
      <c r="L1862" s="20"/>
    </row>
    <row r="1863" spans="1:16">
      <c r="A1863" s="14" t="s">
        <v>31</v>
      </c>
      <c r="D1863" s="18">
        <v>12</v>
      </c>
      <c r="E1863" s="26" t="str">
        <f t="shared" si="351"/>
        <v>-</v>
      </c>
      <c r="F1863" s="311"/>
      <c r="G1863" s="307" t="str">
        <f t="shared" si="352"/>
        <v>-</v>
      </c>
      <c r="H1863" s="352">
        <f t="shared" si="353"/>
        <v>0</v>
      </c>
      <c r="I1863" s="537" t="str">
        <f t="shared" si="354"/>
        <v>-</v>
      </c>
      <c r="J1863" s="538">
        <f t="shared" si="355"/>
        <v>0</v>
      </c>
      <c r="K1863" s="539" t="s">
        <v>2299</v>
      </c>
      <c r="L1863" s="20"/>
    </row>
    <row r="1864" spans="1:16">
      <c r="A1864" s="14" t="s">
        <v>31</v>
      </c>
      <c r="D1864" s="18">
        <v>13</v>
      </c>
      <c r="E1864" s="26" t="str">
        <f t="shared" si="351"/>
        <v>-</v>
      </c>
      <c r="F1864" s="311"/>
      <c r="G1864" s="307" t="str">
        <f t="shared" si="352"/>
        <v>-</v>
      </c>
      <c r="H1864" s="352">
        <f t="shared" si="353"/>
        <v>0</v>
      </c>
      <c r="I1864" s="537" t="str">
        <f t="shared" si="354"/>
        <v>-</v>
      </c>
      <c r="J1864" s="538">
        <f t="shared" si="355"/>
        <v>0</v>
      </c>
      <c r="K1864" s="539" t="s">
        <v>2299</v>
      </c>
      <c r="L1864" s="20"/>
    </row>
    <row r="1865" spans="1:16">
      <c r="A1865" s="14" t="s">
        <v>31</v>
      </c>
      <c r="D1865" s="18">
        <v>14</v>
      </c>
      <c r="E1865" s="26" t="str">
        <f t="shared" si="351"/>
        <v>-</v>
      </c>
      <c r="F1865" s="311"/>
      <c r="G1865" s="307" t="str">
        <f t="shared" si="352"/>
        <v>-</v>
      </c>
      <c r="H1865" s="352">
        <f t="shared" si="353"/>
        <v>0</v>
      </c>
      <c r="I1865" s="537" t="str">
        <f t="shared" si="354"/>
        <v>-</v>
      </c>
      <c r="J1865" s="538">
        <f t="shared" si="355"/>
        <v>0</v>
      </c>
      <c r="K1865" s="539" t="s">
        <v>2299</v>
      </c>
      <c r="L1865" s="20"/>
    </row>
    <row r="1866" spans="1:16">
      <c r="A1866" s="14" t="s">
        <v>31</v>
      </c>
      <c r="D1866" s="18">
        <v>15</v>
      </c>
      <c r="E1866" s="26" t="str">
        <f t="shared" si="351"/>
        <v>-</v>
      </c>
      <c r="F1866" s="311"/>
      <c r="G1866" s="307" t="str">
        <f t="shared" si="352"/>
        <v>-</v>
      </c>
      <c r="H1866" s="352">
        <f t="shared" si="353"/>
        <v>0</v>
      </c>
      <c r="I1866" s="537" t="str">
        <f t="shared" si="354"/>
        <v>-</v>
      </c>
      <c r="J1866" s="538">
        <f t="shared" si="355"/>
        <v>0</v>
      </c>
      <c r="K1866" s="539" t="s">
        <v>2299</v>
      </c>
      <c r="L1866" s="20"/>
    </row>
    <row r="1867" spans="1:16">
      <c r="A1867" s="14" t="s">
        <v>31</v>
      </c>
      <c r="D1867" s="18">
        <v>16</v>
      </c>
      <c r="E1867" s="26" t="str">
        <f t="shared" si="351"/>
        <v>-</v>
      </c>
      <c r="F1867" s="311"/>
      <c r="G1867" s="307" t="str">
        <f t="shared" si="352"/>
        <v>-</v>
      </c>
      <c r="H1867" s="352">
        <f t="shared" si="353"/>
        <v>0</v>
      </c>
      <c r="I1867" s="537" t="str">
        <f t="shared" si="354"/>
        <v>-</v>
      </c>
      <c r="J1867" s="538">
        <f t="shared" si="355"/>
        <v>0</v>
      </c>
      <c r="K1867" s="539" t="s">
        <v>2299</v>
      </c>
      <c r="L1867" s="20"/>
    </row>
    <row r="1868" spans="1:16">
      <c r="A1868" s="14" t="s">
        <v>31</v>
      </c>
      <c r="D1868" s="18">
        <v>17</v>
      </c>
      <c r="E1868" s="26" t="str">
        <f t="shared" si="351"/>
        <v>-</v>
      </c>
      <c r="F1868" s="311"/>
      <c r="G1868" s="307" t="str">
        <f t="shared" si="352"/>
        <v>-</v>
      </c>
      <c r="H1868" s="352">
        <f t="shared" si="353"/>
        <v>0</v>
      </c>
      <c r="I1868" s="537" t="str">
        <f t="shared" si="354"/>
        <v>-</v>
      </c>
      <c r="J1868" s="538">
        <f t="shared" si="355"/>
        <v>0</v>
      </c>
      <c r="K1868" s="539" t="s">
        <v>2299</v>
      </c>
      <c r="L1868" s="20"/>
    </row>
    <row r="1869" spans="1:16">
      <c r="A1869" s="14" t="s">
        <v>31</v>
      </c>
      <c r="D1869" s="18">
        <v>18</v>
      </c>
      <c r="E1869" s="26" t="str">
        <f t="shared" si="351"/>
        <v>-</v>
      </c>
      <c r="F1869" s="311"/>
      <c r="G1869" s="307" t="str">
        <f t="shared" si="352"/>
        <v>-</v>
      </c>
      <c r="H1869" s="352">
        <f t="shared" si="353"/>
        <v>0</v>
      </c>
      <c r="I1869" s="537" t="str">
        <f t="shared" si="354"/>
        <v>-</v>
      </c>
      <c r="J1869" s="538">
        <f t="shared" si="355"/>
        <v>0</v>
      </c>
      <c r="K1869" s="539" t="s">
        <v>2299</v>
      </c>
      <c r="L1869" s="20"/>
    </row>
    <row r="1870" spans="1:16">
      <c r="A1870" s="14" t="s">
        <v>31</v>
      </c>
      <c r="D1870" s="18">
        <v>19</v>
      </c>
      <c r="E1870" s="26" t="str">
        <f t="shared" si="351"/>
        <v>-</v>
      </c>
      <c r="F1870" s="311"/>
      <c r="G1870" s="307" t="str">
        <f t="shared" si="352"/>
        <v>-</v>
      </c>
      <c r="H1870" s="352">
        <f t="shared" si="353"/>
        <v>0</v>
      </c>
      <c r="I1870" s="537" t="str">
        <f t="shared" si="354"/>
        <v>-</v>
      </c>
      <c r="J1870" s="538">
        <f t="shared" si="355"/>
        <v>0</v>
      </c>
      <c r="K1870" s="539" t="s">
        <v>2299</v>
      </c>
      <c r="L1870" s="20"/>
    </row>
    <row r="1871" spans="1:16">
      <c r="A1871" s="14" t="s">
        <v>31</v>
      </c>
      <c r="D1871" s="18">
        <v>20</v>
      </c>
      <c r="E1871" s="26" t="str">
        <f t="shared" si="351"/>
        <v>-</v>
      </c>
      <c r="F1871" s="311"/>
      <c r="G1871" s="307" t="str">
        <f t="shared" si="352"/>
        <v>-</v>
      </c>
      <c r="H1871" s="352">
        <f t="shared" si="353"/>
        <v>0</v>
      </c>
      <c r="I1871" s="537" t="str">
        <f t="shared" si="354"/>
        <v>-</v>
      </c>
      <c r="J1871" s="541">
        <f t="shared" si="355"/>
        <v>0</v>
      </c>
      <c r="K1871" s="539" t="s">
        <v>2299</v>
      </c>
      <c r="L1871" s="20"/>
    </row>
    <row r="1872" spans="1:16">
      <c r="A1872" s="14">
        <f>A1839+1</f>
        <v>40</v>
      </c>
      <c r="B1872" s="14" t="str">
        <f>"MA" &amp; TEXT(A1872,"##000")</f>
        <v>MA040</v>
      </c>
      <c r="D1872" s="18"/>
      <c r="E1872" s="591" t="s">
        <v>2302</v>
      </c>
      <c r="F1872" s="592"/>
      <c r="G1872" s="592"/>
      <c r="H1872" s="592"/>
      <c r="I1872" s="327"/>
      <c r="J1872" s="353">
        <f>SUM(J1852:J1871)</f>
        <v>4000</v>
      </c>
      <c r="K1872" s="365" t="str">
        <f>+F1849</f>
        <v>ud</v>
      </c>
      <c r="L1872" s="20"/>
      <c r="O1872" s="27" t="s">
        <v>1525</v>
      </c>
      <c r="P1872" s="110">
        <v>200</v>
      </c>
    </row>
    <row r="1873" spans="1:19">
      <c r="D1873" s="18"/>
      <c r="E1873" s="593" t="s">
        <v>100</v>
      </c>
      <c r="F1873" s="594"/>
      <c r="G1873" s="594"/>
      <c r="H1873" s="594"/>
      <c r="I1873" s="594"/>
      <c r="J1873" s="595"/>
      <c r="K1873" s="347"/>
      <c r="L1873" s="20"/>
      <c r="O1873" s="27" t="s">
        <v>1524</v>
      </c>
      <c r="P1873" s="110">
        <v>0</v>
      </c>
    </row>
    <row r="1874" spans="1:19">
      <c r="A1874" s="14" t="s">
        <v>84</v>
      </c>
      <c r="D1874" s="18">
        <v>1</v>
      </c>
      <c r="E1874" s="26" t="str">
        <f>VLOOKUP($A1874,MATMO,2,FALSE)</f>
        <v>Oficial</v>
      </c>
      <c r="F1874" s="311">
        <v>2.7</v>
      </c>
      <c r="G1874" s="307" t="str">
        <f>VLOOKUP($A1874,MATMO,3,FALSE)</f>
        <v>hs</v>
      </c>
      <c r="H1874" s="110">
        <f>VLOOKUP($A1874,MATMO,4,FALSE)*$Q$7</f>
        <v>55.38</v>
      </c>
      <c r="I1874" s="354" t="str">
        <f t="shared" ref="I1874:I1878" si="356">+G1874</f>
        <v>hs</v>
      </c>
      <c r="J1874" s="350">
        <f t="shared" ref="J1874:J1878" si="357">+H1874*F1874</f>
        <v>149.52600000000001</v>
      </c>
      <c r="K1874" s="360" t="s">
        <v>2299</v>
      </c>
      <c r="L1874" s="20"/>
      <c r="M1874" s="14" t="s">
        <v>2006</v>
      </c>
      <c r="O1874" s="27" t="s">
        <v>1526</v>
      </c>
      <c r="P1874" s="110">
        <v>0</v>
      </c>
    </row>
    <row r="1875" spans="1:19">
      <c r="A1875" s="14" t="s">
        <v>85</v>
      </c>
      <c r="D1875" s="18">
        <v>2</v>
      </c>
      <c r="E1875" s="26" t="str">
        <f>VLOOKUP($A1875,MATMO,2,FALSE)</f>
        <v>Ayudante</v>
      </c>
      <c r="F1875" s="311">
        <v>1</v>
      </c>
      <c r="G1875" s="307" t="str">
        <f>VLOOKUP($A1875,MATMO,3,FALSE)</f>
        <v>hs</v>
      </c>
      <c r="H1875" s="110">
        <f>VLOOKUP($A1875,MATMO,4,FALSE)*$Q$7</f>
        <v>46.87</v>
      </c>
      <c r="I1875" s="354" t="str">
        <f t="shared" si="356"/>
        <v>hs</v>
      </c>
      <c r="J1875" s="350">
        <f t="shared" si="357"/>
        <v>46.87</v>
      </c>
      <c r="K1875" s="360" t="s">
        <v>2299</v>
      </c>
      <c r="L1875" s="20"/>
      <c r="O1875" s="27" t="s">
        <v>1527</v>
      </c>
      <c r="P1875" s="110">
        <v>0</v>
      </c>
    </row>
    <row r="1876" spans="1:19">
      <c r="A1876" s="14" t="s">
        <v>2311</v>
      </c>
      <c r="D1876" s="18">
        <v>3</v>
      </c>
      <c r="E1876" s="26" t="str">
        <f>VLOOKUP($A1876,MATMO,2,FALSE)</f>
        <v>Cargas Sociales Oficial</v>
      </c>
      <c r="F1876" s="311">
        <f>+F1874</f>
        <v>2.7</v>
      </c>
      <c r="G1876" s="307" t="str">
        <f>VLOOKUP($A1876,MATMO,3,FALSE)</f>
        <v>hs</v>
      </c>
      <c r="H1876" s="110">
        <f>VLOOKUP($A1876,MATMO,4,FALSE)*$Q$7</f>
        <v>52.742782499999997</v>
      </c>
      <c r="I1876" s="354" t="str">
        <f t="shared" si="356"/>
        <v>hs</v>
      </c>
      <c r="J1876" s="350">
        <f t="shared" si="357"/>
        <v>142.40551275000001</v>
      </c>
      <c r="K1876" s="360" t="s">
        <v>2299</v>
      </c>
      <c r="L1876" s="20"/>
      <c r="O1876" s="27"/>
      <c r="P1876" s="110">
        <v>0</v>
      </c>
    </row>
    <row r="1877" spans="1:19">
      <c r="A1877" s="14" t="s">
        <v>2312</v>
      </c>
      <c r="D1877" s="18">
        <v>4</v>
      </c>
      <c r="E1877" s="26" t="str">
        <f>VLOOKUP($A1877,MATMO,2,FALSE)</f>
        <v>Cargas Sociales Ayudante</v>
      </c>
      <c r="F1877" s="311">
        <f>+F1875</f>
        <v>1</v>
      </c>
      <c r="G1877" s="307" t="str">
        <f>VLOOKUP($A1877,MATMO,3,FALSE)</f>
        <v>hs</v>
      </c>
      <c r="H1877" s="110">
        <f>VLOOKUP($A1877,MATMO,4,FALSE)*$Q$7</f>
        <v>45.108248750000001</v>
      </c>
      <c r="I1877" s="354" t="str">
        <f t="shared" si="356"/>
        <v>hs</v>
      </c>
      <c r="J1877" s="350">
        <f t="shared" si="357"/>
        <v>45.108248750000001</v>
      </c>
      <c r="K1877" s="360" t="s">
        <v>2299</v>
      </c>
      <c r="L1877" s="20"/>
      <c r="O1877" s="27"/>
      <c r="P1877" s="110">
        <v>0</v>
      </c>
    </row>
    <row r="1878" spans="1:19" ht="16.5" thickBot="1">
      <c r="A1878" s="14" t="s">
        <v>83</v>
      </c>
      <c r="D1878" s="18">
        <v>5</v>
      </c>
      <c r="E1878" s="26" t="str">
        <f>VLOOKUP($A1878,MATMO,2,FALSE)</f>
        <v>-</v>
      </c>
      <c r="F1878" s="311"/>
      <c r="G1878" s="307" t="str">
        <f>VLOOKUP($A1878,MATMO,3,FALSE)</f>
        <v>-</v>
      </c>
      <c r="H1878" s="110">
        <f>VLOOKUP($A1878,MATMO,4,FALSE)*$Q$7</f>
        <v>0</v>
      </c>
      <c r="I1878" s="537" t="str">
        <f t="shared" si="356"/>
        <v>-</v>
      </c>
      <c r="J1878" s="538">
        <f t="shared" si="357"/>
        <v>0</v>
      </c>
      <c r="K1878" s="539" t="s">
        <v>2299</v>
      </c>
      <c r="L1878" s="20"/>
      <c r="O1878" s="27"/>
      <c r="P1878" s="110">
        <v>0</v>
      </c>
      <c r="R1878" s="29" t="s">
        <v>2307</v>
      </c>
    </row>
    <row r="1879" spans="1:19" ht="16.5" thickBot="1">
      <c r="A1879" s="14">
        <f>A1839+1</f>
        <v>40</v>
      </c>
      <c r="B1879" s="14" t="str">
        <f>"MO" &amp; TEXT(A1879,"##000")</f>
        <v>MO040</v>
      </c>
      <c r="D1879" s="18"/>
      <c r="E1879" s="591" t="s">
        <v>2301</v>
      </c>
      <c r="F1879" s="592"/>
      <c r="G1879" s="592"/>
      <c r="H1879" s="592"/>
      <c r="I1879" s="327"/>
      <c r="J1879" s="362">
        <f>SUM(J1874:J1878)</f>
        <v>383.90976150000006</v>
      </c>
      <c r="K1879" s="365" t="str">
        <f>+G1874</f>
        <v>hs</v>
      </c>
      <c r="L1879" s="20"/>
      <c r="N1879" s="111">
        <f>+P1879+R1879</f>
        <v>380</v>
      </c>
      <c r="O1879" s="27"/>
      <c r="P1879" s="27">
        <f>SUM(P1872:P1878)</f>
        <v>200</v>
      </c>
      <c r="Q1879" s="26">
        <v>0.9</v>
      </c>
      <c r="R1879" s="287">
        <f>+Q1879*P1879</f>
        <v>180</v>
      </c>
      <c r="S1879" s="288"/>
    </row>
    <row r="1880" spans="1:19">
      <c r="D1880" s="18"/>
      <c r="E1880" s="593" t="s">
        <v>101</v>
      </c>
      <c r="F1880" s="594"/>
      <c r="G1880" s="594"/>
      <c r="H1880" s="594"/>
      <c r="I1880" s="594"/>
      <c r="J1880" s="595"/>
      <c r="K1880" s="347"/>
      <c r="L1880" s="20"/>
      <c r="P1880" s="14" t="s">
        <v>2308</v>
      </c>
    </row>
    <row r="1881" spans="1:19">
      <c r="A1881" s="14" t="s">
        <v>119</v>
      </c>
      <c r="D1881" s="18">
        <v>1</v>
      </c>
      <c r="E1881" s="26" t="str">
        <f>VLOOKUP($A1881,MATMO,2,FALSE)</f>
        <v>Herramientas de Mano</v>
      </c>
      <c r="F1881" s="311">
        <v>1</v>
      </c>
      <c r="G1881" s="307" t="str">
        <f>VLOOKUP($A1881,MATMO,3,FALSE)</f>
        <v>gl</v>
      </c>
      <c r="H1881" s="110">
        <f>+(J1872+J1879)*$Q$5</f>
        <v>175.35639046</v>
      </c>
      <c r="I1881" s="345" t="str">
        <f>+G1881</f>
        <v>gl</v>
      </c>
      <c r="J1881" s="350">
        <f t="shared" ref="J1881:J1885" si="358">+H1881*F1881</f>
        <v>175.35639046</v>
      </c>
      <c r="K1881" s="360" t="s">
        <v>2299</v>
      </c>
      <c r="L1881" s="20"/>
      <c r="M1881" s="14" t="s">
        <v>2004</v>
      </c>
    </row>
    <row r="1882" spans="1:19">
      <c r="A1882" s="14" t="s">
        <v>118</v>
      </c>
      <c r="D1882" s="18">
        <v>2</v>
      </c>
      <c r="E1882" s="26" t="str">
        <f>VLOOKUP($A1882,MATMO,2,FALSE)</f>
        <v>-</v>
      </c>
      <c r="F1882" s="311"/>
      <c r="G1882" s="307" t="str">
        <f>VLOOKUP($A1882,MATMO,3,FALSE)</f>
        <v>-</v>
      </c>
      <c r="H1882" s="110">
        <f>VLOOKUP($A1882,MATMO,4,FALSE)*$Q$6</f>
        <v>0</v>
      </c>
      <c r="I1882" s="543" t="str">
        <f t="shared" ref="I1882:I1885" si="359">+G1882</f>
        <v>-</v>
      </c>
      <c r="J1882" s="538">
        <f t="shared" si="358"/>
        <v>0</v>
      </c>
      <c r="K1882" s="539" t="s">
        <v>2299</v>
      </c>
      <c r="L1882" s="20"/>
    </row>
    <row r="1883" spans="1:19">
      <c r="A1883" s="14" t="s">
        <v>118</v>
      </c>
      <c r="D1883" s="18">
        <v>3</v>
      </c>
      <c r="E1883" s="26" t="str">
        <f>VLOOKUP($A1883,MATMO,2,FALSE)</f>
        <v>-</v>
      </c>
      <c r="F1883" s="311"/>
      <c r="G1883" s="307" t="str">
        <f>VLOOKUP($A1883,MATMO,3,FALSE)</f>
        <v>-</v>
      </c>
      <c r="H1883" s="110">
        <f>VLOOKUP($A1883,MATMO,4,FALSE)*$Q$6</f>
        <v>0</v>
      </c>
      <c r="I1883" s="543" t="str">
        <f t="shared" si="359"/>
        <v>-</v>
      </c>
      <c r="J1883" s="538">
        <f t="shared" si="358"/>
        <v>0</v>
      </c>
      <c r="K1883" s="539" t="s">
        <v>2299</v>
      </c>
      <c r="L1883" s="20"/>
    </row>
    <row r="1884" spans="1:19">
      <c r="A1884" s="14" t="s">
        <v>118</v>
      </c>
      <c r="D1884" s="18">
        <v>4</v>
      </c>
      <c r="E1884" s="26" t="str">
        <f>VLOOKUP($A1884,MATMO,2,FALSE)</f>
        <v>-</v>
      </c>
      <c r="F1884" s="311"/>
      <c r="G1884" s="307" t="str">
        <f>VLOOKUP($A1884,MATMO,3,FALSE)</f>
        <v>-</v>
      </c>
      <c r="H1884" s="110">
        <f>VLOOKUP($A1884,MATMO,4,FALSE)*$Q$6</f>
        <v>0</v>
      </c>
      <c r="I1884" s="543" t="str">
        <f t="shared" si="359"/>
        <v>-</v>
      </c>
      <c r="J1884" s="538">
        <f t="shared" si="358"/>
        <v>0</v>
      </c>
      <c r="K1884" s="539" t="s">
        <v>2299</v>
      </c>
      <c r="L1884" s="20"/>
    </row>
    <row r="1885" spans="1:19">
      <c r="A1885" s="14" t="s">
        <v>118</v>
      </c>
      <c r="D1885" s="18">
        <v>5</v>
      </c>
      <c r="E1885" s="26" t="str">
        <f>VLOOKUP($A1885,MATMO,2,FALSE)</f>
        <v>-</v>
      </c>
      <c r="F1885" s="311"/>
      <c r="G1885" s="307" t="str">
        <f>VLOOKUP($A1885,MATMO,3,FALSE)</f>
        <v>-</v>
      </c>
      <c r="H1885" s="110">
        <f>VLOOKUP($A1885,MATMO,4,FALSE)*$Q$6</f>
        <v>0</v>
      </c>
      <c r="I1885" s="543" t="str">
        <f t="shared" si="359"/>
        <v>-</v>
      </c>
      <c r="J1885" s="538">
        <f t="shared" si="358"/>
        <v>0</v>
      </c>
      <c r="K1885" s="539" t="s">
        <v>2299</v>
      </c>
      <c r="L1885" s="20"/>
    </row>
    <row r="1886" spans="1:19">
      <c r="A1886" s="14">
        <f>A1839+1</f>
        <v>40</v>
      </c>
      <c r="B1886" s="14" t="str">
        <f>"E" &amp; TEXT(A1886,"##000")</f>
        <v>E040</v>
      </c>
      <c r="D1886" s="18"/>
      <c r="E1886" s="591" t="s">
        <v>2300</v>
      </c>
      <c r="F1886" s="592"/>
      <c r="G1886" s="592"/>
      <c r="H1886" s="592"/>
      <c r="I1886" s="327"/>
      <c r="J1886" s="362">
        <f>SUM(J1881:J1885)</f>
        <v>175.35639046</v>
      </c>
      <c r="K1886" s="365" t="s">
        <v>116</v>
      </c>
      <c r="L1886" s="20"/>
    </row>
    <row r="1887" spans="1:19">
      <c r="D1887" s="18"/>
      <c r="E1887" s="596"/>
      <c r="F1887" s="597"/>
      <c r="G1887" s="597"/>
      <c r="H1887" s="597"/>
      <c r="I1887" s="597"/>
      <c r="J1887" s="598"/>
      <c r="K1887" s="348"/>
      <c r="L1887" s="20"/>
    </row>
    <row r="1888" spans="1:19">
      <c r="D1888" s="18"/>
      <c r="E1888" s="591" t="s">
        <v>2306</v>
      </c>
      <c r="F1888" s="592"/>
      <c r="G1888" s="592"/>
      <c r="H1888" s="592"/>
      <c r="I1888" s="327"/>
      <c r="J1888" s="308">
        <f>+J1886+J1879+J1872</f>
        <v>4559.2661519600006</v>
      </c>
      <c r="K1888" s="365" t="str">
        <f>+F1849</f>
        <v>ud</v>
      </c>
      <c r="L1888" s="20"/>
    </row>
    <row r="1889" spans="1:13">
      <c r="D1889" s="18"/>
      <c r="E1889" s="591" t="s">
        <v>2305</v>
      </c>
      <c r="F1889" s="592"/>
      <c r="G1889" s="592"/>
      <c r="H1889" s="592"/>
      <c r="I1889" s="406">
        <f>+$Q$9</f>
        <v>1.6902999999999999</v>
      </c>
      <c r="J1889" s="308">
        <f>+$Q$9*J1888</f>
        <v>7706.5275766579889</v>
      </c>
      <c r="K1889" s="365" t="str">
        <f>+F1849</f>
        <v>ud</v>
      </c>
      <c r="L1889" s="20"/>
    </row>
    <row r="1890" spans="1:13">
      <c r="A1890" s="14">
        <f>A1843+1</f>
        <v>40</v>
      </c>
      <c r="B1890" s="14" t="str">
        <f>"TR" &amp; TEXT(A1890,"##000")</f>
        <v>TR040</v>
      </c>
      <c r="C1890" s="14">
        <f>+C1843+1</f>
        <v>40</v>
      </c>
      <c r="D1890" s="18"/>
      <c r="E1890" s="591" t="s">
        <v>2304</v>
      </c>
      <c r="F1890" s="592"/>
      <c r="G1890" s="592"/>
      <c r="H1890" s="592"/>
      <c r="I1890" s="327"/>
      <c r="J1890" s="308">
        <f>+J1889</f>
        <v>7706.5275766579889</v>
      </c>
      <c r="K1890" s="365" t="str">
        <f>+F1849</f>
        <v>ud</v>
      </c>
      <c r="L1890" s="20"/>
    </row>
    <row r="1891" spans="1:13" ht="16.5" thickBot="1">
      <c r="D1891" s="21"/>
      <c r="E1891" s="30"/>
      <c r="F1891" s="30"/>
      <c r="G1891" s="30"/>
      <c r="H1891" s="30"/>
      <c r="I1891" s="30"/>
      <c r="J1891" s="30"/>
      <c r="K1891" s="349"/>
      <c r="L1891" s="22"/>
    </row>
    <row r="1892" spans="1:13" ht="16.5" thickTop="1">
      <c r="D1892" s="15"/>
      <c r="E1892" s="16"/>
      <c r="F1892" s="16"/>
      <c r="G1892" s="16"/>
      <c r="H1892" s="16"/>
      <c r="I1892" s="16"/>
      <c r="J1892" s="16"/>
      <c r="K1892" s="16"/>
      <c r="L1892" s="17"/>
    </row>
    <row r="1893" spans="1:13">
      <c r="A1893" s="14" t="s">
        <v>1860</v>
      </c>
      <c r="D1893" s="18"/>
      <c r="E1893" s="23" t="s">
        <v>95</v>
      </c>
      <c r="F1893" s="24" t="str">
        <f>VLOOKUP($A1893,DATRUB,3,FALSE)</f>
        <v>RUBRO XI:</v>
      </c>
      <c r="G1893" s="599" t="str">
        <f>VLOOKUP($A1893,DATRUB,4,FALSE)</f>
        <v>CARPINTERÍA METÁLICA y HERRERÍA</v>
      </c>
      <c r="H1893" s="599"/>
      <c r="I1893" s="599"/>
      <c r="J1893" s="599"/>
      <c r="K1893" s="599"/>
      <c r="L1893" s="20"/>
    </row>
    <row r="1894" spans="1:13" ht="35.1" customHeight="1">
      <c r="A1894" s="14" t="s">
        <v>1862</v>
      </c>
      <c r="D1894" s="18"/>
      <c r="E1894" s="23" t="s">
        <v>96</v>
      </c>
      <c r="F1894" s="399">
        <f>VLOOKUP($A1894,DATRUB,3,FALSE)</f>
        <v>11.3</v>
      </c>
      <c r="G1894" s="599" t="str">
        <f>VLOOKUP($A1894,DATRUB,4,FALSE)</f>
        <v>P3: 1,00 x 2,55 Marco (Baño Discapacitados)</v>
      </c>
      <c r="H1894" s="599"/>
      <c r="I1894" s="599"/>
      <c r="J1894" s="599"/>
      <c r="K1894" s="599"/>
      <c r="L1894" s="20"/>
    </row>
    <row r="1895" spans="1:13" ht="35.1" customHeight="1">
      <c r="A1895" s="14" t="s">
        <v>1862</v>
      </c>
      <c r="D1895" s="18"/>
      <c r="E1895" s="23" t="s">
        <v>97</v>
      </c>
      <c r="F1895" s="399">
        <f>VLOOKUP($A1895,DATRUB,3,FALSE)</f>
        <v>11.3</v>
      </c>
      <c r="G1895" s="599" t="str">
        <f>VLOOKUP($A1895,DATRUB,4,FALSE)</f>
        <v>P3: 1,00 x 2,55 Marco (Baño Discapacitados)</v>
      </c>
      <c r="H1895" s="599"/>
      <c r="I1895" s="599"/>
      <c r="J1895" s="599"/>
      <c r="K1895" s="599"/>
      <c r="L1895" s="20"/>
    </row>
    <row r="1896" spans="1:13">
      <c r="D1896" s="18"/>
      <c r="E1896" s="23" t="s">
        <v>98</v>
      </c>
      <c r="F1896" s="24" t="str">
        <f>VLOOKUP($A1895,DATRUB,5,FALSE)</f>
        <v>ud</v>
      </c>
      <c r="G1896" s="600"/>
      <c r="H1896" s="600"/>
      <c r="I1896" s="600"/>
      <c r="J1896" s="600"/>
      <c r="K1896" s="600"/>
      <c r="L1896" s="20"/>
    </row>
    <row r="1897" spans="1:13">
      <c r="D1897" s="18"/>
      <c r="E1897" s="24" t="s">
        <v>1158</v>
      </c>
      <c r="F1897" s="25" t="s">
        <v>1250</v>
      </c>
      <c r="G1897" s="24" t="s">
        <v>24</v>
      </c>
      <c r="H1897" s="24" t="s">
        <v>25</v>
      </c>
      <c r="I1897" s="24" t="s">
        <v>24</v>
      </c>
      <c r="J1897" s="24" t="s">
        <v>2298</v>
      </c>
      <c r="K1897" s="24" t="s">
        <v>24</v>
      </c>
      <c r="L1897" s="20"/>
    </row>
    <row r="1898" spans="1:13">
      <c r="D1898" s="18"/>
      <c r="E1898" s="593" t="s">
        <v>99</v>
      </c>
      <c r="F1898" s="594"/>
      <c r="G1898" s="594"/>
      <c r="H1898" s="594"/>
      <c r="I1898" s="594"/>
      <c r="J1898" s="594"/>
      <c r="K1898" s="595"/>
      <c r="L1898" s="20"/>
    </row>
    <row r="1899" spans="1:13">
      <c r="A1899" s="14" t="s">
        <v>2439</v>
      </c>
      <c r="D1899" s="18">
        <v>1</v>
      </c>
      <c r="E1899" s="355" t="str">
        <f t="shared" ref="E1899:E1918" si="360">VLOOKUP($A1899,MATMO,2,FALSE)</f>
        <v>P3: 1,00 x 2,55 Marco (Baño Discapacitados)</v>
      </c>
      <c r="F1899" s="356">
        <v>1</v>
      </c>
      <c r="G1899" s="357" t="str">
        <f t="shared" ref="G1899:G1918" si="361">VLOOKUP($A1899,MATMO,3,FALSE)</f>
        <v>un</v>
      </c>
      <c r="H1899" s="358">
        <f t="shared" ref="H1899:H1918" si="362">VLOOKUP($A1899,MATMO,4,FALSE)*$Q$6</f>
        <v>4000</v>
      </c>
      <c r="I1899" s="359" t="str">
        <f t="shared" ref="I1899:I1918" si="363">+G1899</f>
        <v>un</v>
      </c>
      <c r="J1899" s="361">
        <f>+H1899*F1899</f>
        <v>4000</v>
      </c>
      <c r="K1899" s="360" t="s">
        <v>2299</v>
      </c>
      <c r="L1899" s="20"/>
      <c r="M1899" s="14" t="s">
        <v>2005</v>
      </c>
    </row>
    <row r="1900" spans="1:13">
      <c r="A1900" s="14" t="s">
        <v>31</v>
      </c>
      <c r="D1900" s="18">
        <v>2</v>
      </c>
      <c r="E1900" s="26" t="str">
        <f t="shared" si="360"/>
        <v>-</v>
      </c>
      <c r="F1900" s="311"/>
      <c r="G1900" s="307" t="str">
        <f t="shared" si="361"/>
        <v>-</v>
      </c>
      <c r="H1900" s="351">
        <f t="shared" si="362"/>
        <v>0</v>
      </c>
      <c r="I1900" s="537" t="str">
        <f t="shared" si="363"/>
        <v>-</v>
      </c>
      <c r="J1900" s="538">
        <f t="shared" ref="J1900:J1918" si="364">+H1900*F1900</f>
        <v>0</v>
      </c>
      <c r="K1900" s="539" t="s">
        <v>2299</v>
      </c>
      <c r="L1900" s="20"/>
    </row>
    <row r="1901" spans="1:13">
      <c r="A1901" s="14" t="s">
        <v>31</v>
      </c>
      <c r="D1901" s="18">
        <v>3</v>
      </c>
      <c r="E1901" s="26" t="str">
        <f t="shared" si="360"/>
        <v>-</v>
      </c>
      <c r="F1901" s="311"/>
      <c r="G1901" s="307" t="str">
        <f t="shared" si="361"/>
        <v>-</v>
      </c>
      <c r="H1901" s="351">
        <f t="shared" si="362"/>
        <v>0</v>
      </c>
      <c r="I1901" s="537" t="str">
        <f t="shared" si="363"/>
        <v>-</v>
      </c>
      <c r="J1901" s="538">
        <f t="shared" si="364"/>
        <v>0</v>
      </c>
      <c r="K1901" s="539" t="s">
        <v>2299</v>
      </c>
      <c r="L1901" s="20"/>
    </row>
    <row r="1902" spans="1:13">
      <c r="A1902" s="14" t="s">
        <v>31</v>
      </c>
      <c r="D1902" s="18">
        <v>4</v>
      </c>
      <c r="E1902" s="26" t="str">
        <f t="shared" si="360"/>
        <v>-</v>
      </c>
      <c r="F1902" s="311"/>
      <c r="G1902" s="307" t="str">
        <f t="shared" si="361"/>
        <v>-</v>
      </c>
      <c r="H1902" s="351">
        <f t="shared" si="362"/>
        <v>0</v>
      </c>
      <c r="I1902" s="537" t="str">
        <f t="shared" si="363"/>
        <v>-</v>
      </c>
      <c r="J1902" s="538">
        <f t="shared" si="364"/>
        <v>0</v>
      </c>
      <c r="K1902" s="539" t="s">
        <v>2299</v>
      </c>
      <c r="L1902" s="20"/>
    </row>
    <row r="1903" spans="1:13">
      <c r="A1903" s="14" t="s">
        <v>31</v>
      </c>
      <c r="D1903" s="18">
        <v>5</v>
      </c>
      <c r="E1903" s="26" t="str">
        <f t="shared" si="360"/>
        <v>-</v>
      </c>
      <c r="F1903" s="311"/>
      <c r="G1903" s="307" t="str">
        <f t="shared" si="361"/>
        <v>-</v>
      </c>
      <c r="H1903" s="351">
        <f t="shared" si="362"/>
        <v>0</v>
      </c>
      <c r="I1903" s="537" t="str">
        <f t="shared" si="363"/>
        <v>-</v>
      </c>
      <c r="J1903" s="538">
        <f t="shared" si="364"/>
        <v>0</v>
      </c>
      <c r="K1903" s="539" t="s">
        <v>2299</v>
      </c>
      <c r="L1903" s="20"/>
    </row>
    <row r="1904" spans="1:13">
      <c r="A1904" s="14" t="s">
        <v>31</v>
      </c>
      <c r="D1904" s="18">
        <v>6</v>
      </c>
      <c r="E1904" s="26" t="str">
        <f t="shared" si="360"/>
        <v>-</v>
      </c>
      <c r="F1904" s="311"/>
      <c r="G1904" s="307" t="str">
        <f t="shared" si="361"/>
        <v>-</v>
      </c>
      <c r="H1904" s="351">
        <f t="shared" si="362"/>
        <v>0</v>
      </c>
      <c r="I1904" s="537" t="str">
        <f t="shared" si="363"/>
        <v>-</v>
      </c>
      <c r="J1904" s="538">
        <f t="shared" si="364"/>
        <v>0</v>
      </c>
      <c r="K1904" s="539" t="s">
        <v>2299</v>
      </c>
      <c r="L1904" s="20"/>
    </row>
    <row r="1905" spans="1:16">
      <c r="A1905" s="14" t="s">
        <v>31</v>
      </c>
      <c r="D1905" s="18">
        <v>7</v>
      </c>
      <c r="E1905" s="26" t="str">
        <f t="shared" si="360"/>
        <v>-</v>
      </c>
      <c r="F1905" s="311"/>
      <c r="G1905" s="307" t="str">
        <f t="shared" si="361"/>
        <v>-</v>
      </c>
      <c r="H1905" s="351">
        <f t="shared" si="362"/>
        <v>0</v>
      </c>
      <c r="I1905" s="537" t="str">
        <f t="shared" si="363"/>
        <v>-</v>
      </c>
      <c r="J1905" s="538">
        <f t="shared" si="364"/>
        <v>0</v>
      </c>
      <c r="K1905" s="539" t="s">
        <v>2299</v>
      </c>
      <c r="L1905" s="20"/>
    </row>
    <row r="1906" spans="1:16">
      <c r="A1906" s="14" t="s">
        <v>31</v>
      </c>
      <c r="D1906" s="18">
        <v>8</v>
      </c>
      <c r="E1906" s="26" t="str">
        <f t="shared" si="360"/>
        <v>-</v>
      </c>
      <c r="F1906" s="311"/>
      <c r="G1906" s="307" t="str">
        <f t="shared" si="361"/>
        <v>-</v>
      </c>
      <c r="H1906" s="351">
        <f t="shared" si="362"/>
        <v>0</v>
      </c>
      <c r="I1906" s="537" t="str">
        <f t="shared" si="363"/>
        <v>-</v>
      </c>
      <c r="J1906" s="538">
        <f t="shared" si="364"/>
        <v>0</v>
      </c>
      <c r="K1906" s="539" t="s">
        <v>2299</v>
      </c>
      <c r="L1906" s="20"/>
    </row>
    <row r="1907" spans="1:16">
      <c r="A1907" s="14" t="s">
        <v>31</v>
      </c>
      <c r="D1907" s="18">
        <v>9</v>
      </c>
      <c r="E1907" s="26" t="str">
        <f t="shared" si="360"/>
        <v>-</v>
      </c>
      <c r="F1907" s="311"/>
      <c r="G1907" s="307" t="str">
        <f t="shared" si="361"/>
        <v>-</v>
      </c>
      <c r="H1907" s="351">
        <f t="shared" si="362"/>
        <v>0</v>
      </c>
      <c r="I1907" s="537" t="str">
        <f t="shared" si="363"/>
        <v>-</v>
      </c>
      <c r="J1907" s="538">
        <f t="shared" si="364"/>
        <v>0</v>
      </c>
      <c r="K1907" s="539" t="s">
        <v>2299</v>
      </c>
      <c r="L1907" s="20"/>
    </row>
    <row r="1908" spans="1:16">
      <c r="A1908" s="14" t="s">
        <v>31</v>
      </c>
      <c r="D1908" s="18">
        <v>10</v>
      </c>
      <c r="E1908" s="26" t="str">
        <f t="shared" si="360"/>
        <v>-</v>
      </c>
      <c r="F1908" s="311"/>
      <c r="G1908" s="307" t="str">
        <f t="shared" si="361"/>
        <v>-</v>
      </c>
      <c r="H1908" s="351">
        <f t="shared" si="362"/>
        <v>0</v>
      </c>
      <c r="I1908" s="537" t="str">
        <f t="shared" si="363"/>
        <v>-</v>
      </c>
      <c r="J1908" s="538">
        <f t="shared" si="364"/>
        <v>0</v>
      </c>
      <c r="K1908" s="539" t="s">
        <v>2299</v>
      </c>
      <c r="L1908" s="20"/>
    </row>
    <row r="1909" spans="1:16">
      <c r="A1909" s="14" t="s">
        <v>31</v>
      </c>
      <c r="D1909" s="18">
        <v>11</v>
      </c>
      <c r="E1909" s="26" t="str">
        <f t="shared" si="360"/>
        <v>-</v>
      </c>
      <c r="F1909" s="311"/>
      <c r="G1909" s="307" t="str">
        <f t="shared" si="361"/>
        <v>-</v>
      </c>
      <c r="H1909" s="351">
        <f t="shared" si="362"/>
        <v>0</v>
      </c>
      <c r="I1909" s="537" t="str">
        <f t="shared" si="363"/>
        <v>-</v>
      </c>
      <c r="J1909" s="538">
        <f t="shared" si="364"/>
        <v>0</v>
      </c>
      <c r="K1909" s="539" t="s">
        <v>2299</v>
      </c>
      <c r="L1909" s="20"/>
    </row>
    <row r="1910" spans="1:16">
      <c r="A1910" s="14" t="s">
        <v>31</v>
      </c>
      <c r="D1910" s="18">
        <v>12</v>
      </c>
      <c r="E1910" s="26" t="str">
        <f t="shared" si="360"/>
        <v>-</v>
      </c>
      <c r="F1910" s="311"/>
      <c r="G1910" s="307" t="str">
        <f t="shared" si="361"/>
        <v>-</v>
      </c>
      <c r="H1910" s="352">
        <f t="shared" si="362"/>
        <v>0</v>
      </c>
      <c r="I1910" s="537" t="str">
        <f t="shared" si="363"/>
        <v>-</v>
      </c>
      <c r="J1910" s="538">
        <f t="shared" si="364"/>
        <v>0</v>
      </c>
      <c r="K1910" s="539" t="s">
        <v>2299</v>
      </c>
      <c r="L1910" s="20"/>
    </row>
    <row r="1911" spans="1:16">
      <c r="A1911" s="14" t="s">
        <v>31</v>
      </c>
      <c r="D1911" s="18">
        <v>13</v>
      </c>
      <c r="E1911" s="26" t="str">
        <f t="shared" si="360"/>
        <v>-</v>
      </c>
      <c r="F1911" s="311"/>
      <c r="G1911" s="307" t="str">
        <f t="shared" si="361"/>
        <v>-</v>
      </c>
      <c r="H1911" s="352">
        <f t="shared" si="362"/>
        <v>0</v>
      </c>
      <c r="I1911" s="537" t="str">
        <f t="shared" si="363"/>
        <v>-</v>
      </c>
      <c r="J1911" s="538">
        <f t="shared" si="364"/>
        <v>0</v>
      </c>
      <c r="K1911" s="539" t="s">
        <v>2299</v>
      </c>
      <c r="L1911" s="20"/>
    </row>
    <row r="1912" spans="1:16">
      <c r="A1912" s="14" t="s">
        <v>31</v>
      </c>
      <c r="D1912" s="18">
        <v>14</v>
      </c>
      <c r="E1912" s="26" t="str">
        <f t="shared" si="360"/>
        <v>-</v>
      </c>
      <c r="F1912" s="311"/>
      <c r="G1912" s="307" t="str">
        <f t="shared" si="361"/>
        <v>-</v>
      </c>
      <c r="H1912" s="352">
        <f t="shared" si="362"/>
        <v>0</v>
      </c>
      <c r="I1912" s="537" t="str">
        <f t="shared" si="363"/>
        <v>-</v>
      </c>
      <c r="J1912" s="538">
        <f t="shared" si="364"/>
        <v>0</v>
      </c>
      <c r="K1912" s="539" t="s">
        <v>2299</v>
      </c>
      <c r="L1912" s="20"/>
    </row>
    <row r="1913" spans="1:16">
      <c r="A1913" s="14" t="s">
        <v>31</v>
      </c>
      <c r="D1913" s="18">
        <v>15</v>
      </c>
      <c r="E1913" s="26" t="str">
        <f t="shared" si="360"/>
        <v>-</v>
      </c>
      <c r="F1913" s="311"/>
      <c r="G1913" s="307" t="str">
        <f t="shared" si="361"/>
        <v>-</v>
      </c>
      <c r="H1913" s="352">
        <f t="shared" si="362"/>
        <v>0</v>
      </c>
      <c r="I1913" s="537" t="str">
        <f t="shared" si="363"/>
        <v>-</v>
      </c>
      <c r="J1913" s="538">
        <f t="shared" si="364"/>
        <v>0</v>
      </c>
      <c r="K1913" s="539" t="s">
        <v>2299</v>
      </c>
      <c r="L1913" s="20"/>
    </row>
    <row r="1914" spans="1:16">
      <c r="A1914" s="14" t="s">
        <v>31</v>
      </c>
      <c r="D1914" s="18">
        <v>16</v>
      </c>
      <c r="E1914" s="26" t="str">
        <f t="shared" si="360"/>
        <v>-</v>
      </c>
      <c r="F1914" s="311"/>
      <c r="G1914" s="307" t="str">
        <f t="shared" si="361"/>
        <v>-</v>
      </c>
      <c r="H1914" s="352">
        <f t="shared" si="362"/>
        <v>0</v>
      </c>
      <c r="I1914" s="537" t="str">
        <f t="shared" si="363"/>
        <v>-</v>
      </c>
      <c r="J1914" s="538">
        <f t="shared" si="364"/>
        <v>0</v>
      </c>
      <c r="K1914" s="539" t="s">
        <v>2299</v>
      </c>
      <c r="L1914" s="20"/>
    </row>
    <row r="1915" spans="1:16">
      <c r="A1915" s="14" t="s">
        <v>31</v>
      </c>
      <c r="D1915" s="18">
        <v>17</v>
      </c>
      <c r="E1915" s="26" t="str">
        <f t="shared" si="360"/>
        <v>-</v>
      </c>
      <c r="F1915" s="311"/>
      <c r="G1915" s="307" t="str">
        <f t="shared" si="361"/>
        <v>-</v>
      </c>
      <c r="H1915" s="352">
        <f t="shared" si="362"/>
        <v>0</v>
      </c>
      <c r="I1915" s="537" t="str">
        <f t="shared" si="363"/>
        <v>-</v>
      </c>
      <c r="J1915" s="538">
        <f t="shared" si="364"/>
        <v>0</v>
      </c>
      <c r="K1915" s="539" t="s">
        <v>2299</v>
      </c>
      <c r="L1915" s="20"/>
    </row>
    <row r="1916" spans="1:16">
      <c r="A1916" s="14" t="s">
        <v>31</v>
      </c>
      <c r="D1916" s="18">
        <v>18</v>
      </c>
      <c r="E1916" s="26" t="str">
        <f t="shared" si="360"/>
        <v>-</v>
      </c>
      <c r="F1916" s="311"/>
      <c r="G1916" s="307" t="str">
        <f t="shared" si="361"/>
        <v>-</v>
      </c>
      <c r="H1916" s="352">
        <f t="shared" si="362"/>
        <v>0</v>
      </c>
      <c r="I1916" s="537" t="str">
        <f t="shared" si="363"/>
        <v>-</v>
      </c>
      <c r="J1916" s="538">
        <f t="shared" si="364"/>
        <v>0</v>
      </c>
      <c r="K1916" s="539" t="s">
        <v>2299</v>
      </c>
      <c r="L1916" s="20"/>
    </row>
    <row r="1917" spans="1:16">
      <c r="A1917" s="14" t="s">
        <v>31</v>
      </c>
      <c r="D1917" s="18">
        <v>19</v>
      </c>
      <c r="E1917" s="26" t="str">
        <f t="shared" si="360"/>
        <v>-</v>
      </c>
      <c r="F1917" s="311"/>
      <c r="G1917" s="307" t="str">
        <f t="shared" si="361"/>
        <v>-</v>
      </c>
      <c r="H1917" s="352">
        <f t="shared" si="362"/>
        <v>0</v>
      </c>
      <c r="I1917" s="537" t="str">
        <f t="shared" si="363"/>
        <v>-</v>
      </c>
      <c r="J1917" s="538">
        <f t="shared" si="364"/>
        <v>0</v>
      </c>
      <c r="K1917" s="539" t="s">
        <v>2299</v>
      </c>
      <c r="L1917" s="20"/>
    </row>
    <row r="1918" spans="1:16">
      <c r="A1918" s="14" t="s">
        <v>31</v>
      </c>
      <c r="D1918" s="18">
        <v>20</v>
      </c>
      <c r="E1918" s="26" t="str">
        <f t="shared" si="360"/>
        <v>-</v>
      </c>
      <c r="F1918" s="311"/>
      <c r="G1918" s="307" t="str">
        <f t="shared" si="361"/>
        <v>-</v>
      </c>
      <c r="H1918" s="352">
        <f t="shared" si="362"/>
        <v>0</v>
      </c>
      <c r="I1918" s="537" t="str">
        <f t="shared" si="363"/>
        <v>-</v>
      </c>
      <c r="J1918" s="541">
        <f t="shared" si="364"/>
        <v>0</v>
      </c>
      <c r="K1918" s="539" t="s">
        <v>2299</v>
      </c>
      <c r="L1918" s="20"/>
    </row>
    <row r="1919" spans="1:16">
      <c r="A1919" s="14">
        <f>A1886+1</f>
        <v>41</v>
      </c>
      <c r="B1919" s="14" t="str">
        <f>"MA" &amp; TEXT(A1919,"##000")</f>
        <v>MA041</v>
      </c>
      <c r="D1919" s="18"/>
      <c r="E1919" s="591" t="s">
        <v>2302</v>
      </c>
      <c r="F1919" s="592"/>
      <c r="G1919" s="592"/>
      <c r="H1919" s="592"/>
      <c r="I1919" s="327"/>
      <c r="J1919" s="353">
        <f>SUM(J1899:J1918)</f>
        <v>4000</v>
      </c>
      <c r="K1919" s="365" t="str">
        <f>+F1896</f>
        <v>ud</v>
      </c>
      <c r="L1919" s="20"/>
      <c r="O1919" s="27" t="s">
        <v>1525</v>
      </c>
      <c r="P1919" s="110">
        <v>0</v>
      </c>
    </row>
    <row r="1920" spans="1:16">
      <c r="D1920" s="18"/>
      <c r="E1920" s="593" t="s">
        <v>100</v>
      </c>
      <c r="F1920" s="594"/>
      <c r="G1920" s="594"/>
      <c r="H1920" s="594"/>
      <c r="I1920" s="594"/>
      <c r="J1920" s="595"/>
      <c r="K1920" s="347"/>
      <c r="L1920" s="20"/>
      <c r="O1920" s="27" t="s">
        <v>1524</v>
      </c>
      <c r="P1920" s="110">
        <v>0</v>
      </c>
    </row>
    <row r="1921" spans="1:19">
      <c r="A1921" s="14" t="s">
        <v>84</v>
      </c>
      <c r="D1921" s="18">
        <v>1</v>
      </c>
      <c r="E1921" s="26" t="str">
        <f>VLOOKUP($A1921,MATMO,2,FALSE)</f>
        <v>Oficial</v>
      </c>
      <c r="F1921" s="311">
        <v>2.7</v>
      </c>
      <c r="G1921" s="307" t="str">
        <f>VLOOKUP($A1921,MATMO,3,FALSE)</f>
        <v>hs</v>
      </c>
      <c r="H1921" s="110">
        <f>VLOOKUP($A1921,MATMO,4,FALSE)*$Q$7</f>
        <v>55.38</v>
      </c>
      <c r="I1921" s="354" t="str">
        <f t="shared" ref="I1921:I1925" si="365">+G1921</f>
        <v>hs</v>
      </c>
      <c r="J1921" s="350">
        <f t="shared" ref="J1921:J1925" si="366">+H1921*F1921</f>
        <v>149.52600000000001</v>
      </c>
      <c r="K1921" s="360" t="s">
        <v>2299</v>
      </c>
      <c r="L1921" s="20"/>
      <c r="M1921" s="14" t="s">
        <v>2006</v>
      </c>
      <c r="O1921" s="27" t="s">
        <v>1526</v>
      </c>
      <c r="P1921" s="110">
        <v>0</v>
      </c>
    </row>
    <row r="1922" spans="1:19">
      <c r="A1922" s="14" t="s">
        <v>85</v>
      </c>
      <c r="D1922" s="18">
        <v>2</v>
      </c>
      <c r="E1922" s="26" t="str">
        <f>VLOOKUP($A1922,MATMO,2,FALSE)</f>
        <v>Ayudante</v>
      </c>
      <c r="F1922" s="311">
        <v>1</v>
      </c>
      <c r="G1922" s="307" t="str">
        <f>VLOOKUP($A1922,MATMO,3,FALSE)</f>
        <v>hs</v>
      </c>
      <c r="H1922" s="110">
        <f>VLOOKUP($A1922,MATMO,4,FALSE)*$Q$7</f>
        <v>46.87</v>
      </c>
      <c r="I1922" s="354" t="str">
        <f t="shared" si="365"/>
        <v>hs</v>
      </c>
      <c r="J1922" s="350">
        <f t="shared" si="366"/>
        <v>46.87</v>
      </c>
      <c r="K1922" s="360" t="s">
        <v>2299</v>
      </c>
      <c r="L1922" s="20"/>
      <c r="O1922" s="27" t="s">
        <v>1527</v>
      </c>
      <c r="P1922" s="110">
        <v>0</v>
      </c>
    </row>
    <row r="1923" spans="1:19">
      <c r="A1923" s="14" t="s">
        <v>2311</v>
      </c>
      <c r="D1923" s="18">
        <v>3</v>
      </c>
      <c r="E1923" s="26" t="str">
        <f>VLOOKUP($A1923,MATMO,2,FALSE)</f>
        <v>Cargas Sociales Oficial</v>
      </c>
      <c r="F1923" s="311">
        <f>+F1921</f>
        <v>2.7</v>
      </c>
      <c r="G1923" s="307" t="str">
        <f>VLOOKUP($A1923,MATMO,3,FALSE)</f>
        <v>hs</v>
      </c>
      <c r="H1923" s="110">
        <f>VLOOKUP($A1923,MATMO,4,FALSE)*$Q$7</f>
        <v>52.742782499999997</v>
      </c>
      <c r="I1923" s="354" t="str">
        <f t="shared" si="365"/>
        <v>hs</v>
      </c>
      <c r="J1923" s="350">
        <f t="shared" si="366"/>
        <v>142.40551275000001</v>
      </c>
      <c r="K1923" s="360" t="s">
        <v>2299</v>
      </c>
      <c r="L1923" s="20"/>
      <c r="O1923" s="27"/>
      <c r="P1923" s="110">
        <v>0</v>
      </c>
    </row>
    <row r="1924" spans="1:19">
      <c r="A1924" s="14" t="s">
        <v>2312</v>
      </c>
      <c r="D1924" s="18">
        <v>4</v>
      </c>
      <c r="E1924" s="26" t="str">
        <f>VLOOKUP($A1924,MATMO,2,FALSE)</f>
        <v>Cargas Sociales Ayudante</v>
      </c>
      <c r="F1924" s="311">
        <f>+F1922</f>
        <v>1</v>
      </c>
      <c r="G1924" s="307" t="str">
        <f>VLOOKUP($A1924,MATMO,3,FALSE)</f>
        <v>hs</v>
      </c>
      <c r="H1924" s="110">
        <f>VLOOKUP($A1924,MATMO,4,FALSE)*$Q$7</f>
        <v>45.108248750000001</v>
      </c>
      <c r="I1924" s="354" t="str">
        <f t="shared" si="365"/>
        <v>hs</v>
      </c>
      <c r="J1924" s="350">
        <f t="shared" si="366"/>
        <v>45.108248750000001</v>
      </c>
      <c r="K1924" s="360" t="s">
        <v>2299</v>
      </c>
      <c r="L1924" s="20"/>
      <c r="O1924" s="27"/>
      <c r="P1924" s="110">
        <v>0</v>
      </c>
    </row>
    <row r="1925" spans="1:19" ht="16.5" thickBot="1">
      <c r="A1925" s="14" t="s">
        <v>83</v>
      </c>
      <c r="D1925" s="18">
        <v>5</v>
      </c>
      <c r="E1925" s="26" t="str">
        <f>VLOOKUP($A1925,MATMO,2,FALSE)</f>
        <v>-</v>
      </c>
      <c r="F1925" s="311"/>
      <c r="G1925" s="307" t="str">
        <f>VLOOKUP($A1925,MATMO,3,FALSE)</f>
        <v>-</v>
      </c>
      <c r="H1925" s="110">
        <f>VLOOKUP($A1925,MATMO,4,FALSE)*$Q$7</f>
        <v>0</v>
      </c>
      <c r="I1925" s="537" t="str">
        <f t="shared" si="365"/>
        <v>-</v>
      </c>
      <c r="J1925" s="538">
        <f t="shared" si="366"/>
        <v>0</v>
      </c>
      <c r="K1925" s="539" t="s">
        <v>2299</v>
      </c>
      <c r="L1925" s="20"/>
      <c r="O1925" s="27"/>
      <c r="P1925" s="110">
        <v>0</v>
      </c>
      <c r="R1925" s="29" t="s">
        <v>2307</v>
      </c>
    </row>
    <row r="1926" spans="1:19" ht="16.5" thickBot="1">
      <c r="A1926" s="14">
        <f>A1886+1</f>
        <v>41</v>
      </c>
      <c r="B1926" s="14" t="str">
        <f>"MO" &amp; TEXT(A1926,"##000")</f>
        <v>MO041</v>
      </c>
      <c r="D1926" s="18"/>
      <c r="E1926" s="591" t="s">
        <v>2301</v>
      </c>
      <c r="F1926" s="592"/>
      <c r="G1926" s="592"/>
      <c r="H1926" s="592"/>
      <c r="I1926" s="327"/>
      <c r="J1926" s="362">
        <f>SUM(J1921:J1925)</f>
        <v>383.90976150000006</v>
      </c>
      <c r="K1926" s="365" t="str">
        <f>+G1921</f>
        <v>hs</v>
      </c>
      <c r="L1926" s="20"/>
      <c r="N1926" s="111">
        <f>+P1926+R1926</f>
        <v>0</v>
      </c>
      <c r="O1926" s="27"/>
      <c r="P1926" s="27">
        <f>SUM(P1919:P1925)</f>
        <v>0</v>
      </c>
      <c r="Q1926" s="26">
        <v>0.9</v>
      </c>
      <c r="R1926" s="287">
        <f>+Q1926*P1926</f>
        <v>0</v>
      </c>
      <c r="S1926" s="288"/>
    </row>
    <row r="1927" spans="1:19">
      <c r="D1927" s="18"/>
      <c r="E1927" s="593" t="s">
        <v>101</v>
      </c>
      <c r="F1927" s="594"/>
      <c r="G1927" s="594"/>
      <c r="H1927" s="594"/>
      <c r="I1927" s="594"/>
      <c r="J1927" s="595"/>
      <c r="K1927" s="347"/>
      <c r="L1927" s="20"/>
      <c r="P1927" s="14" t="s">
        <v>2308</v>
      </c>
    </row>
    <row r="1928" spans="1:19">
      <c r="A1928" s="14" t="s">
        <v>119</v>
      </c>
      <c r="D1928" s="18">
        <v>1</v>
      </c>
      <c r="E1928" s="26" t="str">
        <f>VLOOKUP($A1928,MATMO,2,FALSE)</f>
        <v>Herramientas de Mano</v>
      </c>
      <c r="F1928" s="311">
        <v>1</v>
      </c>
      <c r="G1928" s="307" t="str">
        <f>VLOOKUP($A1928,MATMO,3,FALSE)</f>
        <v>gl</v>
      </c>
      <c r="H1928" s="110">
        <f>+(J1919+J1926)*$Q$5</f>
        <v>175.35639046</v>
      </c>
      <c r="I1928" s="345" t="str">
        <f>+G1928</f>
        <v>gl</v>
      </c>
      <c r="J1928" s="350">
        <f t="shared" ref="J1928:J1932" si="367">+H1928*F1928</f>
        <v>175.35639046</v>
      </c>
      <c r="K1928" s="360" t="s">
        <v>2299</v>
      </c>
      <c r="L1928" s="20"/>
      <c r="M1928" s="14" t="s">
        <v>2004</v>
      </c>
    </row>
    <row r="1929" spans="1:19">
      <c r="A1929" s="14" t="s">
        <v>118</v>
      </c>
      <c r="D1929" s="18">
        <v>2</v>
      </c>
      <c r="E1929" s="26" t="str">
        <f>VLOOKUP($A1929,MATMO,2,FALSE)</f>
        <v>-</v>
      </c>
      <c r="F1929" s="311"/>
      <c r="G1929" s="307" t="str">
        <f>VLOOKUP($A1929,MATMO,3,FALSE)</f>
        <v>-</v>
      </c>
      <c r="H1929" s="110">
        <f>VLOOKUP($A1929,MATMO,4,FALSE)*$Q$6</f>
        <v>0</v>
      </c>
      <c r="I1929" s="543" t="str">
        <f t="shared" ref="I1929:I1932" si="368">+G1929</f>
        <v>-</v>
      </c>
      <c r="J1929" s="538">
        <f t="shared" si="367"/>
        <v>0</v>
      </c>
      <c r="K1929" s="539" t="s">
        <v>2299</v>
      </c>
      <c r="L1929" s="20"/>
    </row>
    <row r="1930" spans="1:19">
      <c r="A1930" s="14" t="s">
        <v>118</v>
      </c>
      <c r="D1930" s="18">
        <v>3</v>
      </c>
      <c r="E1930" s="26" t="str">
        <f>VLOOKUP($A1930,MATMO,2,FALSE)</f>
        <v>-</v>
      </c>
      <c r="F1930" s="311"/>
      <c r="G1930" s="307" t="str">
        <f>VLOOKUP($A1930,MATMO,3,FALSE)</f>
        <v>-</v>
      </c>
      <c r="H1930" s="110">
        <f>VLOOKUP($A1930,MATMO,4,FALSE)*$Q$6</f>
        <v>0</v>
      </c>
      <c r="I1930" s="543" t="str">
        <f t="shared" si="368"/>
        <v>-</v>
      </c>
      <c r="J1930" s="538">
        <f t="shared" si="367"/>
        <v>0</v>
      </c>
      <c r="K1930" s="539" t="s">
        <v>2299</v>
      </c>
      <c r="L1930" s="20"/>
    </row>
    <row r="1931" spans="1:19">
      <c r="A1931" s="14" t="s">
        <v>118</v>
      </c>
      <c r="D1931" s="18">
        <v>4</v>
      </c>
      <c r="E1931" s="26" t="str">
        <f>VLOOKUP($A1931,MATMO,2,FALSE)</f>
        <v>-</v>
      </c>
      <c r="F1931" s="311"/>
      <c r="G1931" s="307" t="str">
        <f>VLOOKUP($A1931,MATMO,3,FALSE)</f>
        <v>-</v>
      </c>
      <c r="H1931" s="110">
        <f>VLOOKUP($A1931,MATMO,4,FALSE)*$Q$6</f>
        <v>0</v>
      </c>
      <c r="I1931" s="543" t="str">
        <f t="shared" si="368"/>
        <v>-</v>
      </c>
      <c r="J1931" s="538">
        <f t="shared" si="367"/>
        <v>0</v>
      </c>
      <c r="K1931" s="539" t="s">
        <v>2299</v>
      </c>
      <c r="L1931" s="20"/>
    </row>
    <row r="1932" spans="1:19">
      <c r="A1932" s="14" t="s">
        <v>118</v>
      </c>
      <c r="D1932" s="18">
        <v>5</v>
      </c>
      <c r="E1932" s="26" t="str">
        <f>VLOOKUP($A1932,MATMO,2,FALSE)</f>
        <v>-</v>
      </c>
      <c r="F1932" s="311"/>
      <c r="G1932" s="307" t="str">
        <f>VLOOKUP($A1932,MATMO,3,FALSE)</f>
        <v>-</v>
      </c>
      <c r="H1932" s="110">
        <f>VLOOKUP($A1932,MATMO,4,FALSE)*$Q$6</f>
        <v>0</v>
      </c>
      <c r="I1932" s="543" t="str">
        <f t="shared" si="368"/>
        <v>-</v>
      </c>
      <c r="J1932" s="538">
        <f t="shared" si="367"/>
        <v>0</v>
      </c>
      <c r="K1932" s="539" t="s">
        <v>2299</v>
      </c>
      <c r="L1932" s="20"/>
    </row>
    <row r="1933" spans="1:19">
      <c r="A1933" s="14">
        <f>A1886+1</f>
        <v>41</v>
      </c>
      <c r="B1933" s="14" t="str">
        <f>"E" &amp; TEXT(A1933,"##000")</f>
        <v>E041</v>
      </c>
      <c r="D1933" s="18"/>
      <c r="E1933" s="591" t="s">
        <v>2300</v>
      </c>
      <c r="F1933" s="592"/>
      <c r="G1933" s="592"/>
      <c r="H1933" s="592"/>
      <c r="I1933" s="327"/>
      <c r="J1933" s="362">
        <f>SUM(J1928:J1932)</f>
        <v>175.35639046</v>
      </c>
      <c r="K1933" s="365" t="s">
        <v>116</v>
      </c>
      <c r="L1933" s="20"/>
    </row>
    <row r="1934" spans="1:19">
      <c r="D1934" s="18"/>
      <c r="E1934" s="596"/>
      <c r="F1934" s="597"/>
      <c r="G1934" s="597"/>
      <c r="H1934" s="597"/>
      <c r="I1934" s="597"/>
      <c r="J1934" s="598"/>
      <c r="K1934" s="348"/>
      <c r="L1934" s="20"/>
    </row>
    <row r="1935" spans="1:19">
      <c r="D1935" s="18"/>
      <c r="E1935" s="591" t="s">
        <v>2306</v>
      </c>
      <c r="F1935" s="592"/>
      <c r="G1935" s="592"/>
      <c r="H1935" s="592"/>
      <c r="I1935" s="327"/>
      <c r="J1935" s="308">
        <f>+J1933+J1926+J1919</f>
        <v>4559.2661519600006</v>
      </c>
      <c r="K1935" s="365" t="str">
        <f>+F1896</f>
        <v>ud</v>
      </c>
      <c r="L1935" s="20"/>
    </row>
    <row r="1936" spans="1:19">
      <c r="D1936" s="18"/>
      <c r="E1936" s="591" t="s">
        <v>2305</v>
      </c>
      <c r="F1936" s="592"/>
      <c r="G1936" s="592"/>
      <c r="H1936" s="592"/>
      <c r="I1936" s="406">
        <f>+$Q$9</f>
        <v>1.6902999999999999</v>
      </c>
      <c r="J1936" s="308">
        <f>+$Q$9*J1935</f>
        <v>7706.5275766579889</v>
      </c>
      <c r="K1936" s="365" t="str">
        <f>+F1896</f>
        <v>ud</v>
      </c>
      <c r="L1936" s="20"/>
    </row>
    <row r="1937" spans="1:13">
      <c r="A1937" s="14">
        <f>A1890+1</f>
        <v>41</v>
      </c>
      <c r="B1937" s="14" t="str">
        <f>"TR" &amp; TEXT(A1937,"##000")</f>
        <v>TR041</v>
      </c>
      <c r="C1937" s="14">
        <f>+C1890+1</f>
        <v>41</v>
      </c>
      <c r="D1937" s="18"/>
      <c r="E1937" s="591" t="s">
        <v>2304</v>
      </c>
      <c r="F1937" s="592"/>
      <c r="G1937" s="592"/>
      <c r="H1937" s="592"/>
      <c r="I1937" s="327"/>
      <c r="J1937" s="308">
        <f>+J1936</f>
        <v>7706.5275766579889</v>
      </c>
      <c r="K1937" s="365" t="str">
        <f>+F1896</f>
        <v>ud</v>
      </c>
      <c r="L1937" s="20"/>
    </row>
    <row r="1938" spans="1:13" ht="16.5" thickBot="1">
      <c r="D1938" s="21"/>
      <c r="E1938" s="30"/>
      <c r="F1938" s="30"/>
      <c r="G1938" s="30"/>
      <c r="H1938" s="30"/>
      <c r="I1938" s="30"/>
      <c r="J1938" s="30"/>
      <c r="K1938" s="349"/>
      <c r="L1938" s="22"/>
    </row>
    <row r="1939" spans="1:13" ht="16.5" thickTop="1">
      <c r="D1939" s="15"/>
      <c r="E1939" s="16"/>
      <c r="F1939" s="16"/>
      <c r="G1939" s="16"/>
      <c r="H1939" s="16"/>
      <c r="I1939" s="16"/>
      <c r="J1939" s="16"/>
      <c r="K1939" s="16"/>
      <c r="L1939" s="17"/>
    </row>
    <row r="1940" spans="1:13">
      <c r="A1940" s="14" t="s">
        <v>1860</v>
      </c>
      <c r="D1940" s="18"/>
      <c r="E1940" s="23" t="s">
        <v>95</v>
      </c>
      <c r="F1940" s="24" t="str">
        <f>VLOOKUP($A1940,DATRUB,3,FALSE)</f>
        <v>RUBRO XI:</v>
      </c>
      <c r="G1940" s="599" t="str">
        <f>VLOOKUP($A1940,DATRUB,4,FALSE)</f>
        <v>CARPINTERÍA METÁLICA y HERRERÍA</v>
      </c>
      <c r="H1940" s="599"/>
      <c r="I1940" s="599"/>
      <c r="J1940" s="599"/>
      <c r="K1940" s="599"/>
      <c r="L1940" s="20"/>
    </row>
    <row r="1941" spans="1:13" ht="35.1" customHeight="1">
      <c r="A1941" s="14" t="s">
        <v>1863</v>
      </c>
      <c r="D1941" s="18"/>
      <c r="E1941" s="23" t="s">
        <v>96</v>
      </c>
      <c r="F1941" s="399">
        <f>VLOOKUP($A1941,DATRUB,3,FALSE)</f>
        <v>11.4</v>
      </c>
      <c r="G1941" s="599" t="str">
        <f>VLOOKUP($A1941,DATRUB,4,FALSE)</f>
        <v>P4: 0,90 x 1,80 Marco (Baño Retretes)</v>
      </c>
      <c r="H1941" s="599"/>
      <c r="I1941" s="599"/>
      <c r="J1941" s="599"/>
      <c r="K1941" s="599"/>
      <c r="L1941" s="20"/>
    </row>
    <row r="1942" spans="1:13" ht="35.1" customHeight="1">
      <c r="A1942" s="14" t="s">
        <v>1863</v>
      </c>
      <c r="D1942" s="18"/>
      <c r="E1942" s="23" t="s">
        <v>97</v>
      </c>
      <c r="F1942" s="399">
        <f>VLOOKUP($A1942,DATRUB,3,FALSE)</f>
        <v>11.4</v>
      </c>
      <c r="G1942" s="599" t="str">
        <f>VLOOKUP($A1942,DATRUB,4,FALSE)</f>
        <v>P4: 0,90 x 1,80 Marco (Baño Retretes)</v>
      </c>
      <c r="H1942" s="599"/>
      <c r="I1942" s="599"/>
      <c r="J1942" s="599"/>
      <c r="K1942" s="599"/>
      <c r="L1942" s="20"/>
    </row>
    <row r="1943" spans="1:13">
      <c r="D1943" s="18"/>
      <c r="E1943" s="23" t="s">
        <v>98</v>
      </c>
      <c r="F1943" s="24" t="str">
        <f>VLOOKUP($A1942,DATRUB,5,FALSE)</f>
        <v>ud</v>
      </c>
      <c r="G1943" s="600"/>
      <c r="H1943" s="600"/>
      <c r="I1943" s="600"/>
      <c r="J1943" s="600"/>
      <c r="K1943" s="600"/>
      <c r="L1943" s="20"/>
    </row>
    <row r="1944" spans="1:13">
      <c r="D1944" s="18"/>
      <c r="E1944" s="24" t="s">
        <v>1158</v>
      </c>
      <c r="F1944" s="25" t="s">
        <v>1250</v>
      </c>
      <c r="G1944" s="24" t="s">
        <v>24</v>
      </c>
      <c r="H1944" s="24" t="s">
        <v>25</v>
      </c>
      <c r="I1944" s="24" t="s">
        <v>24</v>
      </c>
      <c r="J1944" s="24" t="s">
        <v>2298</v>
      </c>
      <c r="K1944" s="24" t="s">
        <v>24</v>
      </c>
      <c r="L1944" s="20"/>
    </row>
    <row r="1945" spans="1:13">
      <c r="D1945" s="18"/>
      <c r="E1945" s="593" t="s">
        <v>99</v>
      </c>
      <c r="F1945" s="594"/>
      <c r="G1945" s="594"/>
      <c r="H1945" s="594"/>
      <c r="I1945" s="594"/>
      <c r="J1945" s="594"/>
      <c r="K1945" s="595"/>
      <c r="L1945" s="20"/>
    </row>
    <row r="1946" spans="1:13">
      <c r="A1946" s="14" t="s">
        <v>2440</v>
      </c>
      <c r="D1946" s="18">
        <v>1</v>
      </c>
      <c r="E1946" s="355" t="str">
        <f t="shared" ref="E1946:E1965" si="369">VLOOKUP($A1946,MATMO,2,FALSE)</f>
        <v>P4: 0,90 x 1,80 Marco (Baño Retretes)</v>
      </c>
      <c r="F1946" s="356">
        <v>1</v>
      </c>
      <c r="G1946" s="357" t="str">
        <f t="shared" ref="G1946:G1965" si="370">VLOOKUP($A1946,MATMO,3,FALSE)</f>
        <v>un</v>
      </c>
      <c r="H1946" s="358">
        <f t="shared" ref="H1946:H1965" si="371">VLOOKUP($A1946,MATMO,4,FALSE)*$Q$6</f>
        <v>4000</v>
      </c>
      <c r="I1946" s="359" t="str">
        <f t="shared" ref="I1946:I1965" si="372">+G1946</f>
        <v>un</v>
      </c>
      <c r="J1946" s="361">
        <f>+H1946*F1946</f>
        <v>4000</v>
      </c>
      <c r="K1946" s="360" t="s">
        <v>2299</v>
      </c>
      <c r="L1946" s="20"/>
      <c r="M1946" s="14" t="s">
        <v>2005</v>
      </c>
    </row>
    <row r="1947" spans="1:13">
      <c r="A1947" s="14" t="s">
        <v>31</v>
      </c>
      <c r="D1947" s="18">
        <v>2</v>
      </c>
      <c r="E1947" s="26" t="str">
        <f t="shared" si="369"/>
        <v>-</v>
      </c>
      <c r="F1947" s="311"/>
      <c r="G1947" s="307" t="str">
        <f t="shared" si="370"/>
        <v>-</v>
      </c>
      <c r="H1947" s="351">
        <f t="shared" si="371"/>
        <v>0</v>
      </c>
      <c r="I1947" s="537" t="str">
        <f t="shared" si="372"/>
        <v>-</v>
      </c>
      <c r="J1947" s="538">
        <f t="shared" ref="J1947:J1965" si="373">+H1947*F1947</f>
        <v>0</v>
      </c>
      <c r="K1947" s="539" t="s">
        <v>2299</v>
      </c>
      <c r="L1947" s="20"/>
    </row>
    <row r="1948" spans="1:13">
      <c r="A1948" s="14" t="s">
        <v>31</v>
      </c>
      <c r="D1948" s="18">
        <v>3</v>
      </c>
      <c r="E1948" s="26" t="str">
        <f t="shared" si="369"/>
        <v>-</v>
      </c>
      <c r="F1948" s="311"/>
      <c r="G1948" s="307" t="str">
        <f t="shared" si="370"/>
        <v>-</v>
      </c>
      <c r="H1948" s="351">
        <f t="shared" si="371"/>
        <v>0</v>
      </c>
      <c r="I1948" s="537" t="str">
        <f t="shared" si="372"/>
        <v>-</v>
      </c>
      <c r="J1948" s="538">
        <f t="shared" si="373"/>
        <v>0</v>
      </c>
      <c r="K1948" s="539" t="s">
        <v>2299</v>
      </c>
      <c r="L1948" s="20"/>
    </row>
    <row r="1949" spans="1:13">
      <c r="A1949" s="14" t="s">
        <v>31</v>
      </c>
      <c r="D1949" s="18">
        <v>4</v>
      </c>
      <c r="E1949" s="26" t="str">
        <f t="shared" si="369"/>
        <v>-</v>
      </c>
      <c r="F1949" s="311"/>
      <c r="G1949" s="307" t="str">
        <f t="shared" si="370"/>
        <v>-</v>
      </c>
      <c r="H1949" s="351">
        <f t="shared" si="371"/>
        <v>0</v>
      </c>
      <c r="I1949" s="537" t="str">
        <f t="shared" si="372"/>
        <v>-</v>
      </c>
      <c r="J1949" s="538">
        <f t="shared" si="373"/>
        <v>0</v>
      </c>
      <c r="K1949" s="539" t="s">
        <v>2299</v>
      </c>
      <c r="L1949" s="20"/>
    </row>
    <row r="1950" spans="1:13">
      <c r="A1950" s="14" t="s">
        <v>31</v>
      </c>
      <c r="D1950" s="18">
        <v>5</v>
      </c>
      <c r="E1950" s="26" t="str">
        <f t="shared" si="369"/>
        <v>-</v>
      </c>
      <c r="F1950" s="311"/>
      <c r="G1950" s="307" t="str">
        <f t="shared" si="370"/>
        <v>-</v>
      </c>
      <c r="H1950" s="351">
        <f t="shared" si="371"/>
        <v>0</v>
      </c>
      <c r="I1950" s="537" t="str">
        <f t="shared" si="372"/>
        <v>-</v>
      </c>
      <c r="J1950" s="538">
        <f t="shared" si="373"/>
        <v>0</v>
      </c>
      <c r="K1950" s="539" t="s">
        <v>2299</v>
      </c>
      <c r="L1950" s="20"/>
    </row>
    <row r="1951" spans="1:13">
      <c r="A1951" s="14" t="s">
        <v>31</v>
      </c>
      <c r="D1951" s="18">
        <v>6</v>
      </c>
      <c r="E1951" s="26" t="str">
        <f t="shared" si="369"/>
        <v>-</v>
      </c>
      <c r="F1951" s="311"/>
      <c r="G1951" s="307" t="str">
        <f t="shared" si="370"/>
        <v>-</v>
      </c>
      <c r="H1951" s="351">
        <f t="shared" si="371"/>
        <v>0</v>
      </c>
      <c r="I1951" s="537" t="str">
        <f t="shared" si="372"/>
        <v>-</v>
      </c>
      <c r="J1951" s="538">
        <f t="shared" si="373"/>
        <v>0</v>
      </c>
      <c r="K1951" s="539" t="s">
        <v>2299</v>
      </c>
      <c r="L1951" s="20"/>
    </row>
    <row r="1952" spans="1:13">
      <c r="A1952" s="14" t="s">
        <v>31</v>
      </c>
      <c r="D1952" s="18">
        <v>7</v>
      </c>
      <c r="E1952" s="26" t="str">
        <f t="shared" si="369"/>
        <v>-</v>
      </c>
      <c r="F1952" s="311"/>
      <c r="G1952" s="307" t="str">
        <f t="shared" si="370"/>
        <v>-</v>
      </c>
      <c r="H1952" s="351">
        <f t="shared" si="371"/>
        <v>0</v>
      </c>
      <c r="I1952" s="537" t="str">
        <f t="shared" si="372"/>
        <v>-</v>
      </c>
      <c r="J1952" s="538">
        <f t="shared" si="373"/>
        <v>0</v>
      </c>
      <c r="K1952" s="539" t="s">
        <v>2299</v>
      </c>
      <c r="L1952" s="20"/>
    </row>
    <row r="1953" spans="1:16">
      <c r="A1953" s="14" t="s">
        <v>31</v>
      </c>
      <c r="D1953" s="18">
        <v>8</v>
      </c>
      <c r="E1953" s="26" t="str">
        <f t="shared" si="369"/>
        <v>-</v>
      </c>
      <c r="F1953" s="311"/>
      <c r="G1953" s="307" t="str">
        <f t="shared" si="370"/>
        <v>-</v>
      </c>
      <c r="H1953" s="351">
        <f t="shared" si="371"/>
        <v>0</v>
      </c>
      <c r="I1953" s="537" t="str">
        <f t="shared" si="372"/>
        <v>-</v>
      </c>
      <c r="J1953" s="538">
        <f t="shared" si="373"/>
        <v>0</v>
      </c>
      <c r="K1953" s="539" t="s">
        <v>2299</v>
      </c>
      <c r="L1953" s="20"/>
    </row>
    <row r="1954" spans="1:16">
      <c r="A1954" s="14" t="s">
        <v>31</v>
      </c>
      <c r="D1954" s="18">
        <v>9</v>
      </c>
      <c r="E1954" s="26" t="str">
        <f t="shared" si="369"/>
        <v>-</v>
      </c>
      <c r="F1954" s="311"/>
      <c r="G1954" s="307" t="str">
        <f t="shared" si="370"/>
        <v>-</v>
      </c>
      <c r="H1954" s="351">
        <f t="shared" si="371"/>
        <v>0</v>
      </c>
      <c r="I1954" s="537" t="str">
        <f t="shared" si="372"/>
        <v>-</v>
      </c>
      <c r="J1954" s="538">
        <f t="shared" si="373"/>
        <v>0</v>
      </c>
      <c r="K1954" s="539" t="s">
        <v>2299</v>
      </c>
      <c r="L1954" s="20"/>
    </row>
    <row r="1955" spans="1:16">
      <c r="A1955" s="14" t="s">
        <v>31</v>
      </c>
      <c r="D1955" s="18">
        <v>10</v>
      </c>
      <c r="E1955" s="26" t="str">
        <f t="shared" si="369"/>
        <v>-</v>
      </c>
      <c r="F1955" s="311"/>
      <c r="G1955" s="307" t="str">
        <f t="shared" si="370"/>
        <v>-</v>
      </c>
      <c r="H1955" s="351">
        <f t="shared" si="371"/>
        <v>0</v>
      </c>
      <c r="I1955" s="537" t="str">
        <f t="shared" si="372"/>
        <v>-</v>
      </c>
      <c r="J1955" s="538">
        <f t="shared" si="373"/>
        <v>0</v>
      </c>
      <c r="K1955" s="539" t="s">
        <v>2299</v>
      </c>
      <c r="L1955" s="20"/>
    </row>
    <row r="1956" spans="1:16">
      <c r="A1956" s="14" t="s">
        <v>31</v>
      </c>
      <c r="D1956" s="18">
        <v>11</v>
      </c>
      <c r="E1956" s="26" t="str">
        <f t="shared" si="369"/>
        <v>-</v>
      </c>
      <c r="F1956" s="311"/>
      <c r="G1956" s="307" t="str">
        <f t="shared" si="370"/>
        <v>-</v>
      </c>
      <c r="H1956" s="351">
        <f t="shared" si="371"/>
        <v>0</v>
      </c>
      <c r="I1956" s="537" t="str">
        <f t="shared" si="372"/>
        <v>-</v>
      </c>
      <c r="J1956" s="538">
        <f t="shared" si="373"/>
        <v>0</v>
      </c>
      <c r="K1956" s="539" t="s">
        <v>2299</v>
      </c>
      <c r="L1956" s="20"/>
    </row>
    <row r="1957" spans="1:16">
      <c r="A1957" s="14" t="s">
        <v>31</v>
      </c>
      <c r="D1957" s="18">
        <v>12</v>
      </c>
      <c r="E1957" s="26" t="str">
        <f t="shared" si="369"/>
        <v>-</v>
      </c>
      <c r="F1957" s="311"/>
      <c r="G1957" s="307" t="str">
        <f t="shared" si="370"/>
        <v>-</v>
      </c>
      <c r="H1957" s="352">
        <f t="shared" si="371"/>
        <v>0</v>
      </c>
      <c r="I1957" s="537" t="str">
        <f t="shared" si="372"/>
        <v>-</v>
      </c>
      <c r="J1957" s="538">
        <f t="shared" si="373"/>
        <v>0</v>
      </c>
      <c r="K1957" s="539" t="s">
        <v>2299</v>
      </c>
      <c r="L1957" s="20"/>
    </row>
    <row r="1958" spans="1:16">
      <c r="A1958" s="14" t="s">
        <v>31</v>
      </c>
      <c r="D1958" s="18">
        <v>13</v>
      </c>
      <c r="E1958" s="26" t="str">
        <f t="shared" si="369"/>
        <v>-</v>
      </c>
      <c r="F1958" s="311"/>
      <c r="G1958" s="307" t="str">
        <f t="shared" si="370"/>
        <v>-</v>
      </c>
      <c r="H1958" s="352">
        <f t="shared" si="371"/>
        <v>0</v>
      </c>
      <c r="I1958" s="537" t="str">
        <f t="shared" si="372"/>
        <v>-</v>
      </c>
      <c r="J1958" s="538">
        <f t="shared" si="373"/>
        <v>0</v>
      </c>
      <c r="K1958" s="539" t="s">
        <v>2299</v>
      </c>
      <c r="L1958" s="20"/>
    </row>
    <row r="1959" spans="1:16">
      <c r="A1959" s="14" t="s">
        <v>31</v>
      </c>
      <c r="D1959" s="18">
        <v>14</v>
      </c>
      <c r="E1959" s="26" t="str">
        <f t="shared" si="369"/>
        <v>-</v>
      </c>
      <c r="F1959" s="311"/>
      <c r="G1959" s="307" t="str">
        <f t="shared" si="370"/>
        <v>-</v>
      </c>
      <c r="H1959" s="352">
        <f t="shared" si="371"/>
        <v>0</v>
      </c>
      <c r="I1959" s="537" t="str">
        <f t="shared" si="372"/>
        <v>-</v>
      </c>
      <c r="J1959" s="538">
        <f t="shared" si="373"/>
        <v>0</v>
      </c>
      <c r="K1959" s="539" t="s">
        <v>2299</v>
      </c>
      <c r="L1959" s="20"/>
    </row>
    <row r="1960" spans="1:16">
      <c r="A1960" s="14" t="s">
        <v>31</v>
      </c>
      <c r="D1960" s="18">
        <v>15</v>
      </c>
      <c r="E1960" s="26" t="str">
        <f t="shared" si="369"/>
        <v>-</v>
      </c>
      <c r="F1960" s="311"/>
      <c r="G1960" s="307" t="str">
        <f t="shared" si="370"/>
        <v>-</v>
      </c>
      <c r="H1960" s="352">
        <f t="shared" si="371"/>
        <v>0</v>
      </c>
      <c r="I1960" s="537" t="str">
        <f t="shared" si="372"/>
        <v>-</v>
      </c>
      <c r="J1960" s="538">
        <f t="shared" si="373"/>
        <v>0</v>
      </c>
      <c r="K1960" s="539" t="s">
        <v>2299</v>
      </c>
      <c r="L1960" s="20"/>
    </row>
    <row r="1961" spans="1:16">
      <c r="A1961" s="14" t="s">
        <v>31</v>
      </c>
      <c r="D1961" s="18">
        <v>16</v>
      </c>
      <c r="E1961" s="26" t="str">
        <f t="shared" si="369"/>
        <v>-</v>
      </c>
      <c r="F1961" s="311"/>
      <c r="G1961" s="307" t="str">
        <f t="shared" si="370"/>
        <v>-</v>
      </c>
      <c r="H1961" s="352">
        <f t="shared" si="371"/>
        <v>0</v>
      </c>
      <c r="I1961" s="537" t="str">
        <f t="shared" si="372"/>
        <v>-</v>
      </c>
      <c r="J1961" s="538">
        <f t="shared" si="373"/>
        <v>0</v>
      </c>
      <c r="K1961" s="539" t="s">
        <v>2299</v>
      </c>
      <c r="L1961" s="20"/>
    </row>
    <row r="1962" spans="1:16">
      <c r="A1962" s="14" t="s">
        <v>31</v>
      </c>
      <c r="D1962" s="18">
        <v>17</v>
      </c>
      <c r="E1962" s="26" t="str">
        <f t="shared" si="369"/>
        <v>-</v>
      </c>
      <c r="F1962" s="311"/>
      <c r="G1962" s="307" t="str">
        <f t="shared" si="370"/>
        <v>-</v>
      </c>
      <c r="H1962" s="352">
        <f t="shared" si="371"/>
        <v>0</v>
      </c>
      <c r="I1962" s="537" t="str">
        <f t="shared" si="372"/>
        <v>-</v>
      </c>
      <c r="J1962" s="538">
        <f t="shared" si="373"/>
        <v>0</v>
      </c>
      <c r="K1962" s="539" t="s">
        <v>2299</v>
      </c>
      <c r="L1962" s="20"/>
    </row>
    <row r="1963" spans="1:16">
      <c r="A1963" s="14" t="s">
        <v>31</v>
      </c>
      <c r="D1963" s="18">
        <v>18</v>
      </c>
      <c r="E1963" s="26" t="str">
        <f t="shared" si="369"/>
        <v>-</v>
      </c>
      <c r="F1963" s="311"/>
      <c r="G1963" s="307" t="str">
        <f t="shared" si="370"/>
        <v>-</v>
      </c>
      <c r="H1963" s="352">
        <f t="shared" si="371"/>
        <v>0</v>
      </c>
      <c r="I1963" s="537" t="str">
        <f t="shared" si="372"/>
        <v>-</v>
      </c>
      <c r="J1963" s="538">
        <f t="shared" si="373"/>
        <v>0</v>
      </c>
      <c r="K1963" s="539" t="s">
        <v>2299</v>
      </c>
      <c r="L1963" s="20"/>
    </row>
    <row r="1964" spans="1:16">
      <c r="A1964" s="14" t="s">
        <v>31</v>
      </c>
      <c r="D1964" s="18">
        <v>19</v>
      </c>
      <c r="E1964" s="26" t="str">
        <f t="shared" si="369"/>
        <v>-</v>
      </c>
      <c r="F1964" s="311"/>
      <c r="G1964" s="307" t="str">
        <f t="shared" si="370"/>
        <v>-</v>
      </c>
      <c r="H1964" s="352">
        <f t="shared" si="371"/>
        <v>0</v>
      </c>
      <c r="I1964" s="537" t="str">
        <f t="shared" si="372"/>
        <v>-</v>
      </c>
      <c r="J1964" s="538">
        <f t="shared" si="373"/>
        <v>0</v>
      </c>
      <c r="K1964" s="539" t="s">
        <v>2299</v>
      </c>
      <c r="L1964" s="20"/>
    </row>
    <row r="1965" spans="1:16">
      <c r="A1965" s="14" t="s">
        <v>31</v>
      </c>
      <c r="D1965" s="18">
        <v>20</v>
      </c>
      <c r="E1965" s="26" t="str">
        <f t="shared" si="369"/>
        <v>-</v>
      </c>
      <c r="F1965" s="311"/>
      <c r="G1965" s="307" t="str">
        <f t="shared" si="370"/>
        <v>-</v>
      </c>
      <c r="H1965" s="352">
        <f t="shared" si="371"/>
        <v>0</v>
      </c>
      <c r="I1965" s="537" t="str">
        <f t="shared" si="372"/>
        <v>-</v>
      </c>
      <c r="J1965" s="541">
        <f t="shared" si="373"/>
        <v>0</v>
      </c>
      <c r="K1965" s="539" t="s">
        <v>2299</v>
      </c>
      <c r="L1965" s="20"/>
    </row>
    <row r="1966" spans="1:16">
      <c r="A1966" s="14">
        <f>A1933+1</f>
        <v>42</v>
      </c>
      <c r="B1966" s="14" t="str">
        <f>"MA" &amp; TEXT(A1966,"##000")</f>
        <v>MA042</v>
      </c>
      <c r="D1966" s="18"/>
      <c r="E1966" s="591" t="s">
        <v>2302</v>
      </c>
      <c r="F1966" s="592"/>
      <c r="G1966" s="592"/>
      <c r="H1966" s="592"/>
      <c r="I1966" s="327"/>
      <c r="J1966" s="353">
        <f>SUM(J1946:J1965)</f>
        <v>4000</v>
      </c>
      <c r="K1966" s="365" t="str">
        <f>+F1943</f>
        <v>ud</v>
      </c>
      <c r="L1966" s="20"/>
      <c r="O1966" s="27" t="s">
        <v>1525</v>
      </c>
      <c r="P1966" s="110">
        <v>0</v>
      </c>
    </row>
    <row r="1967" spans="1:16">
      <c r="D1967" s="18"/>
      <c r="E1967" s="593" t="s">
        <v>100</v>
      </c>
      <c r="F1967" s="594"/>
      <c r="G1967" s="594"/>
      <c r="H1967" s="594"/>
      <c r="I1967" s="594"/>
      <c r="J1967" s="595"/>
      <c r="K1967" s="347"/>
      <c r="L1967" s="20"/>
      <c r="O1967" s="27" t="s">
        <v>1524</v>
      </c>
      <c r="P1967" s="110">
        <v>0</v>
      </c>
    </row>
    <row r="1968" spans="1:16">
      <c r="A1968" s="14" t="s">
        <v>84</v>
      </c>
      <c r="D1968" s="18">
        <v>1</v>
      </c>
      <c r="E1968" s="26" t="str">
        <f>VLOOKUP($A1968,MATMO,2,FALSE)</f>
        <v>Oficial</v>
      </c>
      <c r="F1968" s="311">
        <v>2.7</v>
      </c>
      <c r="G1968" s="307" t="str">
        <f>VLOOKUP($A1968,MATMO,3,FALSE)</f>
        <v>hs</v>
      </c>
      <c r="H1968" s="110">
        <f>VLOOKUP($A1968,MATMO,4,FALSE)*$Q$7</f>
        <v>55.38</v>
      </c>
      <c r="I1968" s="354" t="str">
        <f t="shared" ref="I1968:I1972" si="374">+G1968</f>
        <v>hs</v>
      </c>
      <c r="J1968" s="350">
        <f t="shared" ref="J1968:J1972" si="375">+H1968*F1968</f>
        <v>149.52600000000001</v>
      </c>
      <c r="K1968" s="360" t="s">
        <v>2299</v>
      </c>
      <c r="L1968" s="20"/>
      <c r="M1968" s="14" t="s">
        <v>2006</v>
      </c>
      <c r="O1968" s="27" t="s">
        <v>1526</v>
      </c>
      <c r="P1968" s="110">
        <v>0</v>
      </c>
    </row>
    <row r="1969" spans="1:19">
      <c r="A1969" s="14" t="s">
        <v>85</v>
      </c>
      <c r="D1969" s="18">
        <v>2</v>
      </c>
      <c r="E1969" s="26" t="str">
        <f>VLOOKUP($A1969,MATMO,2,FALSE)</f>
        <v>Ayudante</v>
      </c>
      <c r="F1969" s="311">
        <v>1</v>
      </c>
      <c r="G1969" s="307" t="str">
        <f>VLOOKUP($A1969,MATMO,3,FALSE)</f>
        <v>hs</v>
      </c>
      <c r="H1969" s="110">
        <f>VLOOKUP($A1969,MATMO,4,FALSE)*$Q$7</f>
        <v>46.87</v>
      </c>
      <c r="I1969" s="354" t="str">
        <f t="shared" si="374"/>
        <v>hs</v>
      </c>
      <c r="J1969" s="350">
        <f t="shared" si="375"/>
        <v>46.87</v>
      </c>
      <c r="K1969" s="360" t="s">
        <v>2299</v>
      </c>
      <c r="L1969" s="20"/>
      <c r="O1969" s="27" t="s">
        <v>1527</v>
      </c>
      <c r="P1969" s="110">
        <v>0</v>
      </c>
    </row>
    <row r="1970" spans="1:19">
      <c r="A1970" s="14" t="s">
        <v>2311</v>
      </c>
      <c r="D1970" s="18">
        <v>3</v>
      </c>
      <c r="E1970" s="26" t="str">
        <f>VLOOKUP($A1970,MATMO,2,FALSE)</f>
        <v>Cargas Sociales Oficial</v>
      </c>
      <c r="F1970" s="311">
        <f>+F1968</f>
        <v>2.7</v>
      </c>
      <c r="G1970" s="307" t="str">
        <f>VLOOKUP($A1970,MATMO,3,FALSE)</f>
        <v>hs</v>
      </c>
      <c r="H1970" s="110">
        <f>VLOOKUP($A1970,MATMO,4,FALSE)*$Q$7</f>
        <v>52.742782499999997</v>
      </c>
      <c r="I1970" s="354" t="str">
        <f t="shared" si="374"/>
        <v>hs</v>
      </c>
      <c r="J1970" s="350">
        <f t="shared" si="375"/>
        <v>142.40551275000001</v>
      </c>
      <c r="K1970" s="360" t="s">
        <v>2299</v>
      </c>
      <c r="L1970" s="20"/>
      <c r="O1970" s="27"/>
      <c r="P1970" s="110">
        <v>0</v>
      </c>
    </row>
    <row r="1971" spans="1:19">
      <c r="A1971" s="14" t="s">
        <v>2312</v>
      </c>
      <c r="D1971" s="18">
        <v>4</v>
      </c>
      <c r="E1971" s="26" t="str">
        <f>VLOOKUP($A1971,MATMO,2,FALSE)</f>
        <v>Cargas Sociales Ayudante</v>
      </c>
      <c r="F1971" s="311">
        <f>+F1969</f>
        <v>1</v>
      </c>
      <c r="G1971" s="307" t="str">
        <f>VLOOKUP($A1971,MATMO,3,FALSE)</f>
        <v>hs</v>
      </c>
      <c r="H1971" s="110">
        <f>VLOOKUP($A1971,MATMO,4,FALSE)*$Q$7</f>
        <v>45.108248750000001</v>
      </c>
      <c r="I1971" s="354" t="str">
        <f t="shared" si="374"/>
        <v>hs</v>
      </c>
      <c r="J1971" s="350">
        <f t="shared" si="375"/>
        <v>45.108248750000001</v>
      </c>
      <c r="K1971" s="360" t="s">
        <v>2299</v>
      </c>
      <c r="L1971" s="20"/>
      <c r="O1971" s="27"/>
      <c r="P1971" s="110">
        <v>0</v>
      </c>
    </row>
    <row r="1972" spans="1:19" ht="16.5" thickBot="1">
      <c r="A1972" s="14" t="s">
        <v>83</v>
      </c>
      <c r="D1972" s="18">
        <v>5</v>
      </c>
      <c r="E1972" s="26" t="str">
        <f>VLOOKUP($A1972,MATMO,2,FALSE)</f>
        <v>-</v>
      </c>
      <c r="F1972" s="311"/>
      <c r="G1972" s="307" t="str">
        <f>VLOOKUP($A1972,MATMO,3,FALSE)</f>
        <v>-</v>
      </c>
      <c r="H1972" s="110">
        <f>VLOOKUP($A1972,MATMO,4,FALSE)*$Q$7</f>
        <v>0</v>
      </c>
      <c r="I1972" s="537" t="str">
        <f t="shared" si="374"/>
        <v>-</v>
      </c>
      <c r="J1972" s="538">
        <f t="shared" si="375"/>
        <v>0</v>
      </c>
      <c r="K1972" s="539" t="s">
        <v>2299</v>
      </c>
      <c r="L1972" s="20"/>
      <c r="O1972" s="27"/>
      <c r="P1972" s="110">
        <v>0</v>
      </c>
      <c r="R1972" s="29" t="s">
        <v>2307</v>
      </c>
    </row>
    <row r="1973" spans="1:19" ht="16.5" thickBot="1">
      <c r="A1973" s="14">
        <f>A1933+1</f>
        <v>42</v>
      </c>
      <c r="B1973" s="14" t="str">
        <f>"MO" &amp; TEXT(A1973,"##000")</f>
        <v>MO042</v>
      </c>
      <c r="D1973" s="18"/>
      <c r="E1973" s="591" t="s">
        <v>2301</v>
      </c>
      <c r="F1973" s="592"/>
      <c r="G1973" s="592"/>
      <c r="H1973" s="592"/>
      <c r="I1973" s="327"/>
      <c r="J1973" s="362">
        <f>SUM(J1968:J1972)</f>
        <v>383.90976150000006</v>
      </c>
      <c r="K1973" s="365" t="str">
        <f>+G1968</f>
        <v>hs</v>
      </c>
      <c r="L1973" s="20"/>
      <c r="N1973" s="111">
        <f>+P1973+R1973</f>
        <v>0</v>
      </c>
      <c r="O1973" s="27"/>
      <c r="P1973" s="27">
        <f>SUM(P1966:P1972)</f>
        <v>0</v>
      </c>
      <c r="Q1973" s="26">
        <v>0.9</v>
      </c>
      <c r="R1973" s="287">
        <f>+Q1973*P1973</f>
        <v>0</v>
      </c>
      <c r="S1973" s="288"/>
    </row>
    <row r="1974" spans="1:19">
      <c r="D1974" s="18"/>
      <c r="E1974" s="593" t="s">
        <v>101</v>
      </c>
      <c r="F1974" s="594"/>
      <c r="G1974" s="594"/>
      <c r="H1974" s="594"/>
      <c r="I1974" s="594"/>
      <c r="J1974" s="595"/>
      <c r="K1974" s="347"/>
      <c r="L1974" s="20"/>
      <c r="P1974" s="14" t="s">
        <v>2308</v>
      </c>
    </row>
    <row r="1975" spans="1:19">
      <c r="A1975" s="14" t="s">
        <v>119</v>
      </c>
      <c r="D1975" s="18">
        <v>1</v>
      </c>
      <c r="E1975" s="26" t="str">
        <f>VLOOKUP($A1975,MATMO,2,FALSE)</f>
        <v>Herramientas de Mano</v>
      </c>
      <c r="F1975" s="311">
        <v>1</v>
      </c>
      <c r="G1975" s="307" t="str">
        <f>VLOOKUP($A1975,MATMO,3,FALSE)</f>
        <v>gl</v>
      </c>
      <c r="H1975" s="110">
        <f>+(J1966+J1973)*$Q$5</f>
        <v>175.35639046</v>
      </c>
      <c r="I1975" s="345" t="str">
        <f>+G1975</f>
        <v>gl</v>
      </c>
      <c r="J1975" s="350">
        <f t="shared" ref="J1975:J1979" si="376">+H1975*F1975</f>
        <v>175.35639046</v>
      </c>
      <c r="K1975" s="360" t="s">
        <v>2299</v>
      </c>
      <c r="L1975" s="20"/>
      <c r="M1975" s="14" t="s">
        <v>2004</v>
      </c>
    </row>
    <row r="1976" spans="1:19">
      <c r="A1976" s="14" t="s">
        <v>118</v>
      </c>
      <c r="D1976" s="18">
        <v>2</v>
      </c>
      <c r="E1976" s="26" t="str">
        <f>VLOOKUP($A1976,MATMO,2,FALSE)</f>
        <v>-</v>
      </c>
      <c r="F1976" s="311"/>
      <c r="G1976" s="307" t="str">
        <f>VLOOKUP($A1976,MATMO,3,FALSE)</f>
        <v>-</v>
      </c>
      <c r="H1976" s="110">
        <f>VLOOKUP($A1976,MATMO,4,FALSE)*$Q$6</f>
        <v>0</v>
      </c>
      <c r="I1976" s="543" t="str">
        <f t="shared" ref="I1976:I1979" si="377">+G1976</f>
        <v>-</v>
      </c>
      <c r="J1976" s="538">
        <f t="shared" si="376"/>
        <v>0</v>
      </c>
      <c r="K1976" s="539" t="s">
        <v>2299</v>
      </c>
      <c r="L1976" s="20"/>
    </row>
    <row r="1977" spans="1:19">
      <c r="A1977" s="14" t="s">
        <v>118</v>
      </c>
      <c r="D1977" s="18">
        <v>3</v>
      </c>
      <c r="E1977" s="26" t="str">
        <f>VLOOKUP($A1977,MATMO,2,FALSE)</f>
        <v>-</v>
      </c>
      <c r="F1977" s="311"/>
      <c r="G1977" s="307" t="str">
        <f>VLOOKUP($A1977,MATMO,3,FALSE)</f>
        <v>-</v>
      </c>
      <c r="H1977" s="110">
        <f>VLOOKUP($A1977,MATMO,4,FALSE)*$Q$6</f>
        <v>0</v>
      </c>
      <c r="I1977" s="543" t="str">
        <f t="shared" si="377"/>
        <v>-</v>
      </c>
      <c r="J1977" s="538">
        <f t="shared" si="376"/>
        <v>0</v>
      </c>
      <c r="K1977" s="539" t="s">
        <v>2299</v>
      </c>
      <c r="L1977" s="20"/>
    </row>
    <row r="1978" spans="1:19">
      <c r="A1978" s="14" t="s">
        <v>118</v>
      </c>
      <c r="D1978" s="18">
        <v>4</v>
      </c>
      <c r="E1978" s="26" t="str">
        <f>VLOOKUP($A1978,MATMO,2,FALSE)</f>
        <v>-</v>
      </c>
      <c r="F1978" s="311"/>
      <c r="G1978" s="307" t="str">
        <f>VLOOKUP($A1978,MATMO,3,FALSE)</f>
        <v>-</v>
      </c>
      <c r="H1978" s="110">
        <f>VLOOKUP($A1978,MATMO,4,FALSE)*$Q$6</f>
        <v>0</v>
      </c>
      <c r="I1978" s="543" t="str">
        <f t="shared" si="377"/>
        <v>-</v>
      </c>
      <c r="J1978" s="538">
        <f t="shared" si="376"/>
        <v>0</v>
      </c>
      <c r="K1978" s="539" t="s">
        <v>2299</v>
      </c>
      <c r="L1978" s="20"/>
    </row>
    <row r="1979" spans="1:19">
      <c r="A1979" s="14" t="s">
        <v>118</v>
      </c>
      <c r="D1979" s="18">
        <v>5</v>
      </c>
      <c r="E1979" s="26" t="str">
        <f>VLOOKUP($A1979,MATMO,2,FALSE)</f>
        <v>-</v>
      </c>
      <c r="F1979" s="311"/>
      <c r="G1979" s="307" t="str">
        <f>VLOOKUP($A1979,MATMO,3,FALSE)</f>
        <v>-</v>
      </c>
      <c r="H1979" s="110">
        <f>VLOOKUP($A1979,MATMO,4,FALSE)*$Q$6</f>
        <v>0</v>
      </c>
      <c r="I1979" s="543" t="str">
        <f t="shared" si="377"/>
        <v>-</v>
      </c>
      <c r="J1979" s="538">
        <f t="shared" si="376"/>
        <v>0</v>
      </c>
      <c r="K1979" s="539" t="s">
        <v>2299</v>
      </c>
      <c r="L1979" s="20"/>
    </row>
    <row r="1980" spans="1:19">
      <c r="A1980" s="14">
        <f>A1933+1</f>
        <v>42</v>
      </c>
      <c r="B1980" s="14" t="str">
        <f>"E" &amp; TEXT(A1980,"##000")</f>
        <v>E042</v>
      </c>
      <c r="D1980" s="18"/>
      <c r="E1980" s="591" t="s">
        <v>2300</v>
      </c>
      <c r="F1980" s="592"/>
      <c r="G1980" s="592"/>
      <c r="H1980" s="592"/>
      <c r="I1980" s="327"/>
      <c r="J1980" s="362">
        <f>SUM(J1975:J1979)</f>
        <v>175.35639046</v>
      </c>
      <c r="K1980" s="365" t="s">
        <v>116</v>
      </c>
      <c r="L1980" s="20"/>
    </row>
    <row r="1981" spans="1:19">
      <c r="D1981" s="18"/>
      <c r="E1981" s="596"/>
      <c r="F1981" s="597"/>
      <c r="G1981" s="597"/>
      <c r="H1981" s="597"/>
      <c r="I1981" s="597"/>
      <c r="J1981" s="598"/>
      <c r="K1981" s="348"/>
      <c r="L1981" s="20"/>
    </row>
    <row r="1982" spans="1:19">
      <c r="D1982" s="18"/>
      <c r="E1982" s="591" t="s">
        <v>2306</v>
      </c>
      <c r="F1982" s="592"/>
      <c r="G1982" s="592"/>
      <c r="H1982" s="592"/>
      <c r="I1982" s="327"/>
      <c r="J1982" s="308">
        <f>+J1980+J1973+J1966</f>
        <v>4559.2661519600006</v>
      </c>
      <c r="K1982" s="365" t="str">
        <f>+F1943</f>
        <v>ud</v>
      </c>
      <c r="L1982" s="20"/>
    </row>
    <row r="1983" spans="1:19">
      <c r="D1983" s="18"/>
      <c r="E1983" s="591" t="s">
        <v>2305</v>
      </c>
      <c r="F1983" s="592"/>
      <c r="G1983" s="592"/>
      <c r="H1983" s="592"/>
      <c r="I1983" s="406">
        <f>+$Q$9</f>
        <v>1.6902999999999999</v>
      </c>
      <c r="J1983" s="308">
        <f>+$Q$9*J1982</f>
        <v>7706.5275766579889</v>
      </c>
      <c r="K1983" s="365" t="str">
        <f>+F1943</f>
        <v>ud</v>
      </c>
      <c r="L1983" s="20"/>
    </row>
    <row r="1984" spans="1:19">
      <c r="A1984" s="14">
        <f>A1937+1</f>
        <v>42</v>
      </c>
      <c r="B1984" s="14" t="str">
        <f>"TR" &amp; TEXT(A1984,"##000")</f>
        <v>TR042</v>
      </c>
      <c r="C1984" s="14">
        <f>+C1937+1</f>
        <v>42</v>
      </c>
      <c r="D1984" s="18"/>
      <c r="E1984" s="591" t="s">
        <v>2304</v>
      </c>
      <c r="F1984" s="592"/>
      <c r="G1984" s="592"/>
      <c r="H1984" s="592"/>
      <c r="I1984" s="327"/>
      <c r="J1984" s="308">
        <f>+J1983</f>
        <v>7706.5275766579889</v>
      </c>
      <c r="K1984" s="365" t="str">
        <f>+F1943</f>
        <v>ud</v>
      </c>
      <c r="L1984" s="20"/>
    </row>
    <row r="1985" spans="1:13" ht="16.5" thickBot="1">
      <c r="D1985" s="21"/>
      <c r="E1985" s="30"/>
      <c r="F1985" s="30"/>
      <c r="G1985" s="30"/>
      <c r="H1985" s="30"/>
      <c r="I1985" s="30"/>
      <c r="J1985" s="30"/>
      <c r="K1985" s="349"/>
      <c r="L1985" s="22"/>
    </row>
    <row r="1986" spans="1:13" ht="16.5" thickTop="1">
      <c r="D1986" s="15"/>
      <c r="E1986" s="16"/>
      <c r="F1986" s="16"/>
      <c r="G1986" s="16"/>
      <c r="H1986" s="16"/>
      <c r="I1986" s="16"/>
      <c r="J1986" s="16"/>
      <c r="K1986" s="16"/>
      <c r="L1986" s="17"/>
    </row>
    <row r="1987" spans="1:13">
      <c r="A1987" s="14" t="s">
        <v>1860</v>
      </c>
      <c r="D1987" s="18"/>
      <c r="E1987" s="23" t="s">
        <v>95</v>
      </c>
      <c r="F1987" s="24" t="str">
        <f>VLOOKUP($A1987,DATRUB,3,FALSE)</f>
        <v>RUBRO XI:</v>
      </c>
      <c r="G1987" s="599" t="str">
        <f>VLOOKUP($A1987,DATRUB,4,FALSE)</f>
        <v>CARPINTERÍA METÁLICA y HERRERÍA</v>
      </c>
      <c r="H1987" s="599"/>
      <c r="I1987" s="599"/>
      <c r="J1987" s="599"/>
      <c r="K1987" s="599"/>
      <c r="L1987" s="20"/>
    </row>
    <row r="1988" spans="1:13" ht="35.1" customHeight="1">
      <c r="A1988" s="14" t="s">
        <v>1864</v>
      </c>
      <c r="D1988" s="18"/>
      <c r="E1988" s="23" t="s">
        <v>96</v>
      </c>
      <c r="F1988" s="399">
        <f>VLOOKUP($A1988,DATRUB,3,FALSE)</f>
        <v>11.5</v>
      </c>
      <c r="G1988" s="599" t="str">
        <f>VLOOKUP($A1988,DATRUB,4,FALSE)</f>
        <v>PV1: 6,73 x 2,55</v>
      </c>
      <c r="H1988" s="599"/>
      <c r="I1988" s="599"/>
      <c r="J1988" s="599"/>
      <c r="K1988" s="599"/>
      <c r="L1988" s="20"/>
    </row>
    <row r="1989" spans="1:13" ht="35.1" customHeight="1">
      <c r="A1989" s="14" t="s">
        <v>1864</v>
      </c>
      <c r="D1989" s="18"/>
      <c r="E1989" s="23" t="s">
        <v>97</v>
      </c>
      <c r="F1989" s="399">
        <f>VLOOKUP($A1989,DATRUB,3,FALSE)</f>
        <v>11.5</v>
      </c>
      <c r="G1989" s="599" t="str">
        <f>VLOOKUP($A1989,DATRUB,4,FALSE)</f>
        <v>PV1: 6,73 x 2,55</v>
      </c>
      <c r="H1989" s="599"/>
      <c r="I1989" s="599"/>
      <c r="J1989" s="599"/>
      <c r="K1989" s="599"/>
      <c r="L1989" s="20"/>
    </row>
    <row r="1990" spans="1:13">
      <c r="D1990" s="18"/>
      <c r="E1990" s="23" t="s">
        <v>98</v>
      </c>
      <c r="F1990" s="24" t="str">
        <f>VLOOKUP($A1989,DATRUB,5,FALSE)</f>
        <v>ud</v>
      </c>
      <c r="G1990" s="600"/>
      <c r="H1990" s="600"/>
      <c r="I1990" s="600"/>
      <c r="J1990" s="600"/>
      <c r="K1990" s="600"/>
      <c r="L1990" s="20"/>
    </row>
    <row r="1991" spans="1:13">
      <c r="D1991" s="18"/>
      <c r="E1991" s="24" t="s">
        <v>1158</v>
      </c>
      <c r="F1991" s="25" t="s">
        <v>1250</v>
      </c>
      <c r="G1991" s="24" t="s">
        <v>24</v>
      </c>
      <c r="H1991" s="24" t="s">
        <v>25</v>
      </c>
      <c r="I1991" s="24" t="s">
        <v>24</v>
      </c>
      <c r="J1991" s="24" t="s">
        <v>2298</v>
      </c>
      <c r="K1991" s="24" t="s">
        <v>24</v>
      </c>
      <c r="L1991" s="20"/>
    </row>
    <row r="1992" spans="1:13">
      <c r="D1992" s="18"/>
      <c r="E1992" s="593" t="s">
        <v>99</v>
      </c>
      <c r="F1992" s="594"/>
      <c r="G1992" s="594"/>
      <c r="H1992" s="594"/>
      <c r="I1992" s="594"/>
      <c r="J1992" s="594"/>
      <c r="K1992" s="595"/>
      <c r="L1992" s="20"/>
    </row>
    <row r="1993" spans="1:13">
      <c r="A1993" s="14" t="s">
        <v>2391</v>
      </c>
      <c r="D1993" s="18">
        <v>1</v>
      </c>
      <c r="E1993" s="355" t="str">
        <f t="shared" ref="E1993:E2012" si="378">VLOOKUP($A1993,MATMO,2,FALSE)</f>
        <v>PV1: 6,73 x 2,55</v>
      </c>
      <c r="F1993" s="356">
        <v>1</v>
      </c>
      <c r="G1993" s="357" t="str">
        <f t="shared" ref="G1993:G2012" si="379">VLOOKUP($A1993,MATMO,3,FALSE)</f>
        <v>un</v>
      </c>
      <c r="H1993" s="358">
        <f t="shared" ref="H1993:H2012" si="380">VLOOKUP($A1993,MATMO,4,FALSE)*$Q$6</f>
        <v>72130.75</v>
      </c>
      <c r="I1993" s="359" t="str">
        <f t="shared" ref="I1993:I2012" si="381">+G1993</f>
        <v>un</v>
      </c>
      <c r="J1993" s="361">
        <f>+H1993*F1993</f>
        <v>72130.75</v>
      </c>
      <c r="K1993" s="360" t="s">
        <v>2299</v>
      </c>
      <c r="L1993" s="20"/>
      <c r="M1993" s="14" t="s">
        <v>2005</v>
      </c>
    </row>
    <row r="1994" spans="1:13">
      <c r="A1994" s="14" t="s">
        <v>31</v>
      </c>
      <c r="D1994" s="18">
        <v>2</v>
      </c>
      <c r="E1994" s="26" t="str">
        <f t="shared" si="378"/>
        <v>-</v>
      </c>
      <c r="F1994" s="311"/>
      <c r="G1994" s="307" t="str">
        <f t="shared" si="379"/>
        <v>-</v>
      </c>
      <c r="H1994" s="351">
        <f t="shared" si="380"/>
        <v>0</v>
      </c>
      <c r="I1994" s="537" t="str">
        <f t="shared" si="381"/>
        <v>-</v>
      </c>
      <c r="J1994" s="538">
        <f t="shared" ref="J1994:J2012" si="382">+H1994*F1994</f>
        <v>0</v>
      </c>
      <c r="K1994" s="539" t="s">
        <v>2299</v>
      </c>
      <c r="L1994" s="20"/>
    </row>
    <row r="1995" spans="1:13">
      <c r="A1995" s="14" t="s">
        <v>31</v>
      </c>
      <c r="D1995" s="18">
        <v>3</v>
      </c>
      <c r="E1995" s="26" t="str">
        <f t="shared" si="378"/>
        <v>-</v>
      </c>
      <c r="F1995" s="311"/>
      <c r="G1995" s="307" t="str">
        <f t="shared" si="379"/>
        <v>-</v>
      </c>
      <c r="H1995" s="351">
        <f t="shared" si="380"/>
        <v>0</v>
      </c>
      <c r="I1995" s="537" t="str">
        <f t="shared" si="381"/>
        <v>-</v>
      </c>
      <c r="J1995" s="538">
        <f t="shared" si="382"/>
        <v>0</v>
      </c>
      <c r="K1995" s="539" t="s">
        <v>2299</v>
      </c>
      <c r="L1995" s="20"/>
    </row>
    <row r="1996" spans="1:13">
      <c r="A1996" s="14" t="s">
        <v>31</v>
      </c>
      <c r="D1996" s="18">
        <v>4</v>
      </c>
      <c r="E1996" s="26" t="str">
        <f t="shared" si="378"/>
        <v>-</v>
      </c>
      <c r="F1996" s="311"/>
      <c r="G1996" s="307" t="str">
        <f t="shared" si="379"/>
        <v>-</v>
      </c>
      <c r="H1996" s="351">
        <f t="shared" si="380"/>
        <v>0</v>
      </c>
      <c r="I1996" s="537" t="str">
        <f t="shared" si="381"/>
        <v>-</v>
      </c>
      <c r="J1996" s="538">
        <f t="shared" si="382"/>
        <v>0</v>
      </c>
      <c r="K1996" s="539" t="s">
        <v>2299</v>
      </c>
      <c r="L1996" s="20"/>
    </row>
    <row r="1997" spans="1:13">
      <c r="A1997" s="14" t="s">
        <v>31</v>
      </c>
      <c r="D1997" s="18">
        <v>5</v>
      </c>
      <c r="E1997" s="26" t="str">
        <f t="shared" si="378"/>
        <v>-</v>
      </c>
      <c r="F1997" s="311"/>
      <c r="G1997" s="307" t="str">
        <f t="shared" si="379"/>
        <v>-</v>
      </c>
      <c r="H1997" s="351">
        <f t="shared" si="380"/>
        <v>0</v>
      </c>
      <c r="I1997" s="537" t="str">
        <f t="shared" si="381"/>
        <v>-</v>
      </c>
      <c r="J1997" s="538">
        <f t="shared" si="382"/>
        <v>0</v>
      </c>
      <c r="K1997" s="539" t="s">
        <v>2299</v>
      </c>
      <c r="L1997" s="20"/>
    </row>
    <row r="1998" spans="1:13">
      <c r="A1998" s="14" t="s">
        <v>31</v>
      </c>
      <c r="D1998" s="18">
        <v>6</v>
      </c>
      <c r="E1998" s="26" t="str">
        <f t="shared" si="378"/>
        <v>-</v>
      </c>
      <c r="F1998" s="311"/>
      <c r="G1998" s="307" t="str">
        <f t="shared" si="379"/>
        <v>-</v>
      </c>
      <c r="H1998" s="351">
        <f t="shared" si="380"/>
        <v>0</v>
      </c>
      <c r="I1998" s="537" t="str">
        <f t="shared" si="381"/>
        <v>-</v>
      </c>
      <c r="J1998" s="538">
        <f t="shared" si="382"/>
        <v>0</v>
      </c>
      <c r="K1998" s="539" t="s">
        <v>2299</v>
      </c>
      <c r="L1998" s="20"/>
    </row>
    <row r="1999" spans="1:13">
      <c r="A1999" s="14" t="s">
        <v>31</v>
      </c>
      <c r="D1999" s="18">
        <v>7</v>
      </c>
      <c r="E1999" s="26" t="str">
        <f t="shared" si="378"/>
        <v>-</v>
      </c>
      <c r="F1999" s="311"/>
      <c r="G1999" s="307" t="str">
        <f t="shared" si="379"/>
        <v>-</v>
      </c>
      <c r="H1999" s="351">
        <f t="shared" si="380"/>
        <v>0</v>
      </c>
      <c r="I1999" s="537" t="str">
        <f t="shared" si="381"/>
        <v>-</v>
      </c>
      <c r="J1999" s="538">
        <f t="shared" si="382"/>
        <v>0</v>
      </c>
      <c r="K1999" s="539" t="s">
        <v>2299</v>
      </c>
      <c r="L1999" s="20"/>
    </row>
    <row r="2000" spans="1:13">
      <c r="A2000" s="14" t="s">
        <v>31</v>
      </c>
      <c r="D2000" s="18">
        <v>8</v>
      </c>
      <c r="E2000" s="26" t="str">
        <f t="shared" si="378"/>
        <v>-</v>
      </c>
      <c r="F2000" s="311"/>
      <c r="G2000" s="307" t="str">
        <f t="shared" si="379"/>
        <v>-</v>
      </c>
      <c r="H2000" s="351">
        <f t="shared" si="380"/>
        <v>0</v>
      </c>
      <c r="I2000" s="537" t="str">
        <f t="shared" si="381"/>
        <v>-</v>
      </c>
      <c r="J2000" s="538">
        <f t="shared" si="382"/>
        <v>0</v>
      </c>
      <c r="K2000" s="539" t="s">
        <v>2299</v>
      </c>
      <c r="L2000" s="20"/>
    </row>
    <row r="2001" spans="1:16">
      <c r="A2001" s="14" t="s">
        <v>31</v>
      </c>
      <c r="D2001" s="18">
        <v>9</v>
      </c>
      <c r="E2001" s="26" t="str">
        <f t="shared" si="378"/>
        <v>-</v>
      </c>
      <c r="F2001" s="311"/>
      <c r="G2001" s="307" t="str">
        <f t="shared" si="379"/>
        <v>-</v>
      </c>
      <c r="H2001" s="351">
        <f t="shared" si="380"/>
        <v>0</v>
      </c>
      <c r="I2001" s="537" t="str">
        <f t="shared" si="381"/>
        <v>-</v>
      </c>
      <c r="J2001" s="538">
        <f t="shared" si="382"/>
        <v>0</v>
      </c>
      <c r="K2001" s="539" t="s">
        <v>2299</v>
      </c>
      <c r="L2001" s="20"/>
    </row>
    <row r="2002" spans="1:16">
      <c r="A2002" s="14" t="s">
        <v>31</v>
      </c>
      <c r="D2002" s="18">
        <v>10</v>
      </c>
      <c r="E2002" s="26" t="str">
        <f t="shared" si="378"/>
        <v>-</v>
      </c>
      <c r="F2002" s="311"/>
      <c r="G2002" s="307" t="str">
        <f t="shared" si="379"/>
        <v>-</v>
      </c>
      <c r="H2002" s="351">
        <f t="shared" si="380"/>
        <v>0</v>
      </c>
      <c r="I2002" s="537" t="str">
        <f t="shared" si="381"/>
        <v>-</v>
      </c>
      <c r="J2002" s="538">
        <f t="shared" si="382"/>
        <v>0</v>
      </c>
      <c r="K2002" s="539" t="s">
        <v>2299</v>
      </c>
      <c r="L2002" s="20"/>
    </row>
    <row r="2003" spans="1:16">
      <c r="A2003" s="14" t="s">
        <v>31</v>
      </c>
      <c r="D2003" s="18">
        <v>11</v>
      </c>
      <c r="E2003" s="26" t="str">
        <f t="shared" si="378"/>
        <v>-</v>
      </c>
      <c r="F2003" s="311"/>
      <c r="G2003" s="307" t="str">
        <f t="shared" si="379"/>
        <v>-</v>
      </c>
      <c r="H2003" s="351">
        <f t="shared" si="380"/>
        <v>0</v>
      </c>
      <c r="I2003" s="537" t="str">
        <f t="shared" si="381"/>
        <v>-</v>
      </c>
      <c r="J2003" s="538">
        <f t="shared" si="382"/>
        <v>0</v>
      </c>
      <c r="K2003" s="539" t="s">
        <v>2299</v>
      </c>
      <c r="L2003" s="20"/>
    </row>
    <row r="2004" spans="1:16">
      <c r="A2004" s="14" t="s">
        <v>31</v>
      </c>
      <c r="D2004" s="18">
        <v>12</v>
      </c>
      <c r="E2004" s="26" t="str">
        <f t="shared" si="378"/>
        <v>-</v>
      </c>
      <c r="F2004" s="311"/>
      <c r="G2004" s="307" t="str">
        <f t="shared" si="379"/>
        <v>-</v>
      </c>
      <c r="H2004" s="352">
        <f t="shared" si="380"/>
        <v>0</v>
      </c>
      <c r="I2004" s="537" t="str">
        <f t="shared" si="381"/>
        <v>-</v>
      </c>
      <c r="J2004" s="538">
        <f t="shared" si="382"/>
        <v>0</v>
      </c>
      <c r="K2004" s="539" t="s">
        <v>2299</v>
      </c>
      <c r="L2004" s="20"/>
    </row>
    <row r="2005" spans="1:16">
      <c r="A2005" s="14" t="s">
        <v>31</v>
      </c>
      <c r="D2005" s="18">
        <v>13</v>
      </c>
      <c r="E2005" s="26" t="str">
        <f t="shared" si="378"/>
        <v>-</v>
      </c>
      <c r="F2005" s="311"/>
      <c r="G2005" s="307" t="str">
        <f t="shared" si="379"/>
        <v>-</v>
      </c>
      <c r="H2005" s="352">
        <f t="shared" si="380"/>
        <v>0</v>
      </c>
      <c r="I2005" s="537" t="str">
        <f t="shared" si="381"/>
        <v>-</v>
      </c>
      <c r="J2005" s="538">
        <f t="shared" si="382"/>
        <v>0</v>
      </c>
      <c r="K2005" s="539" t="s">
        <v>2299</v>
      </c>
      <c r="L2005" s="20"/>
    </row>
    <row r="2006" spans="1:16">
      <c r="A2006" s="14" t="s">
        <v>31</v>
      </c>
      <c r="D2006" s="18">
        <v>14</v>
      </c>
      <c r="E2006" s="26" t="str">
        <f t="shared" si="378"/>
        <v>-</v>
      </c>
      <c r="F2006" s="311"/>
      <c r="G2006" s="307" t="str">
        <f t="shared" si="379"/>
        <v>-</v>
      </c>
      <c r="H2006" s="352">
        <f t="shared" si="380"/>
        <v>0</v>
      </c>
      <c r="I2006" s="537" t="str">
        <f t="shared" si="381"/>
        <v>-</v>
      </c>
      <c r="J2006" s="538">
        <f t="shared" si="382"/>
        <v>0</v>
      </c>
      <c r="K2006" s="539" t="s">
        <v>2299</v>
      </c>
      <c r="L2006" s="20"/>
    </row>
    <row r="2007" spans="1:16">
      <c r="A2007" s="14" t="s">
        <v>31</v>
      </c>
      <c r="D2007" s="18">
        <v>15</v>
      </c>
      <c r="E2007" s="26" t="str">
        <f t="shared" si="378"/>
        <v>-</v>
      </c>
      <c r="F2007" s="311"/>
      <c r="G2007" s="307" t="str">
        <f t="shared" si="379"/>
        <v>-</v>
      </c>
      <c r="H2007" s="352">
        <f t="shared" si="380"/>
        <v>0</v>
      </c>
      <c r="I2007" s="537" t="str">
        <f t="shared" si="381"/>
        <v>-</v>
      </c>
      <c r="J2007" s="538">
        <f t="shared" si="382"/>
        <v>0</v>
      </c>
      <c r="K2007" s="539" t="s">
        <v>2299</v>
      </c>
      <c r="L2007" s="20"/>
    </row>
    <row r="2008" spans="1:16">
      <c r="A2008" s="14" t="s">
        <v>31</v>
      </c>
      <c r="D2008" s="18">
        <v>16</v>
      </c>
      <c r="E2008" s="26" t="str">
        <f t="shared" si="378"/>
        <v>-</v>
      </c>
      <c r="F2008" s="311"/>
      <c r="G2008" s="307" t="str">
        <f t="shared" si="379"/>
        <v>-</v>
      </c>
      <c r="H2008" s="352">
        <f t="shared" si="380"/>
        <v>0</v>
      </c>
      <c r="I2008" s="537" t="str">
        <f t="shared" si="381"/>
        <v>-</v>
      </c>
      <c r="J2008" s="538">
        <f t="shared" si="382"/>
        <v>0</v>
      </c>
      <c r="K2008" s="539" t="s">
        <v>2299</v>
      </c>
      <c r="L2008" s="20"/>
    </row>
    <row r="2009" spans="1:16">
      <c r="A2009" s="14" t="s">
        <v>31</v>
      </c>
      <c r="D2009" s="18">
        <v>17</v>
      </c>
      <c r="E2009" s="26" t="str">
        <f t="shared" si="378"/>
        <v>-</v>
      </c>
      <c r="F2009" s="311"/>
      <c r="G2009" s="307" t="str">
        <f t="shared" si="379"/>
        <v>-</v>
      </c>
      <c r="H2009" s="352">
        <f t="shared" si="380"/>
        <v>0</v>
      </c>
      <c r="I2009" s="537" t="str">
        <f t="shared" si="381"/>
        <v>-</v>
      </c>
      <c r="J2009" s="538">
        <f t="shared" si="382"/>
        <v>0</v>
      </c>
      <c r="K2009" s="539" t="s">
        <v>2299</v>
      </c>
      <c r="L2009" s="20"/>
    </row>
    <row r="2010" spans="1:16">
      <c r="A2010" s="14" t="s">
        <v>31</v>
      </c>
      <c r="D2010" s="18">
        <v>18</v>
      </c>
      <c r="E2010" s="26" t="str">
        <f t="shared" si="378"/>
        <v>-</v>
      </c>
      <c r="F2010" s="311"/>
      <c r="G2010" s="307" t="str">
        <f t="shared" si="379"/>
        <v>-</v>
      </c>
      <c r="H2010" s="352">
        <f t="shared" si="380"/>
        <v>0</v>
      </c>
      <c r="I2010" s="537" t="str">
        <f t="shared" si="381"/>
        <v>-</v>
      </c>
      <c r="J2010" s="538">
        <f t="shared" si="382"/>
        <v>0</v>
      </c>
      <c r="K2010" s="539" t="s">
        <v>2299</v>
      </c>
      <c r="L2010" s="20"/>
    </row>
    <row r="2011" spans="1:16">
      <c r="A2011" s="14" t="s">
        <v>31</v>
      </c>
      <c r="D2011" s="18">
        <v>19</v>
      </c>
      <c r="E2011" s="26" t="str">
        <f t="shared" si="378"/>
        <v>-</v>
      </c>
      <c r="F2011" s="311"/>
      <c r="G2011" s="307" t="str">
        <f t="shared" si="379"/>
        <v>-</v>
      </c>
      <c r="H2011" s="352">
        <f t="shared" si="380"/>
        <v>0</v>
      </c>
      <c r="I2011" s="537" t="str">
        <f t="shared" si="381"/>
        <v>-</v>
      </c>
      <c r="J2011" s="538">
        <f t="shared" si="382"/>
        <v>0</v>
      </c>
      <c r="K2011" s="539" t="s">
        <v>2299</v>
      </c>
      <c r="L2011" s="20"/>
    </row>
    <row r="2012" spans="1:16">
      <c r="A2012" s="14" t="s">
        <v>31</v>
      </c>
      <c r="D2012" s="18">
        <v>20</v>
      </c>
      <c r="E2012" s="26" t="str">
        <f t="shared" si="378"/>
        <v>-</v>
      </c>
      <c r="F2012" s="311"/>
      <c r="G2012" s="307" t="str">
        <f t="shared" si="379"/>
        <v>-</v>
      </c>
      <c r="H2012" s="352">
        <f t="shared" si="380"/>
        <v>0</v>
      </c>
      <c r="I2012" s="537" t="str">
        <f t="shared" si="381"/>
        <v>-</v>
      </c>
      <c r="J2012" s="541">
        <f t="shared" si="382"/>
        <v>0</v>
      </c>
      <c r="K2012" s="539" t="s">
        <v>2299</v>
      </c>
      <c r="L2012" s="20"/>
    </row>
    <row r="2013" spans="1:16">
      <c r="A2013" s="14">
        <f>A1980+1</f>
        <v>43</v>
      </c>
      <c r="B2013" s="14" t="str">
        <f>"MA" &amp; TEXT(A2013,"##000")</f>
        <v>MA043</v>
      </c>
      <c r="D2013" s="18"/>
      <c r="E2013" s="591" t="s">
        <v>2302</v>
      </c>
      <c r="F2013" s="592"/>
      <c r="G2013" s="592"/>
      <c r="H2013" s="592"/>
      <c r="I2013" s="327"/>
      <c r="J2013" s="353">
        <f>SUM(J1993:J2012)</f>
        <v>72130.75</v>
      </c>
      <c r="K2013" s="365" t="str">
        <f>+F1990</f>
        <v>ud</v>
      </c>
      <c r="L2013" s="20"/>
      <c r="O2013" s="27" t="s">
        <v>1525</v>
      </c>
      <c r="P2013" s="110">
        <v>10</v>
      </c>
    </row>
    <row r="2014" spans="1:16">
      <c r="D2014" s="18"/>
      <c r="E2014" s="593" t="s">
        <v>100</v>
      </c>
      <c r="F2014" s="594"/>
      <c r="G2014" s="594"/>
      <c r="H2014" s="594"/>
      <c r="I2014" s="594"/>
      <c r="J2014" s="595"/>
      <c r="K2014" s="347"/>
      <c r="L2014" s="20"/>
      <c r="O2014" s="27" t="s">
        <v>1524</v>
      </c>
      <c r="P2014" s="110">
        <v>0</v>
      </c>
    </row>
    <row r="2015" spans="1:16">
      <c r="A2015" s="14" t="s">
        <v>84</v>
      </c>
      <c r="D2015" s="18">
        <v>1</v>
      </c>
      <c r="E2015" s="26" t="str">
        <f>VLOOKUP($A2015,MATMO,2,FALSE)</f>
        <v>Oficial</v>
      </c>
      <c r="F2015" s="311">
        <v>0.15</v>
      </c>
      <c r="G2015" s="307" t="str">
        <f>VLOOKUP($A2015,MATMO,3,FALSE)</f>
        <v>hs</v>
      </c>
      <c r="H2015" s="110">
        <f>VLOOKUP($A2015,MATMO,4,FALSE)*$Q$7</f>
        <v>55.38</v>
      </c>
      <c r="I2015" s="354" t="str">
        <f t="shared" ref="I2015:I2019" si="383">+G2015</f>
        <v>hs</v>
      </c>
      <c r="J2015" s="350">
        <f t="shared" ref="J2015:J2019" si="384">+H2015*F2015</f>
        <v>8.3070000000000004</v>
      </c>
      <c r="K2015" s="360" t="s">
        <v>2299</v>
      </c>
      <c r="L2015" s="20"/>
      <c r="M2015" s="14" t="s">
        <v>2006</v>
      </c>
      <c r="O2015" s="27" t="s">
        <v>1526</v>
      </c>
      <c r="P2015" s="110">
        <v>0</v>
      </c>
    </row>
    <row r="2016" spans="1:16">
      <c r="A2016" s="14" t="s">
        <v>85</v>
      </c>
      <c r="D2016" s="18">
        <v>2</v>
      </c>
      <c r="E2016" s="26" t="str">
        <f>VLOOKUP($A2016,MATMO,2,FALSE)</f>
        <v>Ayudante</v>
      </c>
      <c r="F2016" s="311">
        <v>0.05</v>
      </c>
      <c r="G2016" s="307" t="str">
        <f>VLOOKUP($A2016,MATMO,3,FALSE)</f>
        <v>hs</v>
      </c>
      <c r="H2016" s="110">
        <f>VLOOKUP($A2016,MATMO,4,FALSE)*$Q$7</f>
        <v>46.87</v>
      </c>
      <c r="I2016" s="354" t="str">
        <f t="shared" si="383"/>
        <v>hs</v>
      </c>
      <c r="J2016" s="350">
        <f t="shared" si="384"/>
        <v>2.3435000000000001</v>
      </c>
      <c r="K2016" s="360" t="s">
        <v>2299</v>
      </c>
      <c r="L2016" s="20"/>
      <c r="O2016" s="27" t="s">
        <v>1527</v>
      </c>
      <c r="P2016" s="110">
        <v>0</v>
      </c>
    </row>
    <row r="2017" spans="1:19">
      <c r="A2017" s="14" t="s">
        <v>2311</v>
      </c>
      <c r="D2017" s="18">
        <v>3</v>
      </c>
      <c r="E2017" s="26" t="str">
        <f>VLOOKUP($A2017,MATMO,2,FALSE)</f>
        <v>Cargas Sociales Oficial</v>
      </c>
      <c r="F2017" s="311">
        <f>+F2015</f>
        <v>0.15</v>
      </c>
      <c r="G2017" s="307" t="str">
        <f>VLOOKUP($A2017,MATMO,3,FALSE)</f>
        <v>hs</v>
      </c>
      <c r="H2017" s="110">
        <f>VLOOKUP($A2017,MATMO,4,FALSE)*$Q$7</f>
        <v>52.742782499999997</v>
      </c>
      <c r="I2017" s="354" t="str">
        <f t="shared" si="383"/>
        <v>hs</v>
      </c>
      <c r="J2017" s="350">
        <f t="shared" si="384"/>
        <v>7.9114173749999992</v>
      </c>
      <c r="K2017" s="360" t="s">
        <v>2299</v>
      </c>
      <c r="L2017" s="20"/>
      <c r="O2017" s="27"/>
      <c r="P2017" s="110">
        <v>0</v>
      </c>
    </row>
    <row r="2018" spans="1:19">
      <c r="A2018" s="14" t="s">
        <v>2312</v>
      </c>
      <c r="D2018" s="18">
        <v>4</v>
      </c>
      <c r="E2018" s="26" t="str">
        <f>VLOOKUP($A2018,MATMO,2,FALSE)</f>
        <v>Cargas Sociales Ayudante</v>
      </c>
      <c r="F2018" s="311">
        <f>+F2016</f>
        <v>0.05</v>
      </c>
      <c r="G2018" s="307" t="str">
        <f>VLOOKUP($A2018,MATMO,3,FALSE)</f>
        <v>hs</v>
      </c>
      <c r="H2018" s="110">
        <f>VLOOKUP($A2018,MATMO,4,FALSE)*$Q$7</f>
        <v>45.108248750000001</v>
      </c>
      <c r="I2018" s="354" t="str">
        <f t="shared" si="383"/>
        <v>hs</v>
      </c>
      <c r="J2018" s="350">
        <f t="shared" si="384"/>
        <v>2.2554124375</v>
      </c>
      <c r="K2018" s="360" t="s">
        <v>2299</v>
      </c>
      <c r="L2018" s="20"/>
      <c r="O2018" s="27"/>
      <c r="P2018" s="110">
        <v>0</v>
      </c>
    </row>
    <row r="2019" spans="1:19" ht="16.5" thickBot="1">
      <c r="A2019" s="14" t="s">
        <v>83</v>
      </c>
      <c r="D2019" s="18">
        <v>5</v>
      </c>
      <c r="E2019" s="26" t="str">
        <f>VLOOKUP($A2019,MATMO,2,FALSE)</f>
        <v>-</v>
      </c>
      <c r="F2019" s="311"/>
      <c r="G2019" s="307" t="str">
        <f>VLOOKUP($A2019,MATMO,3,FALSE)</f>
        <v>-</v>
      </c>
      <c r="H2019" s="110">
        <f>VLOOKUP($A2019,MATMO,4,FALSE)*$Q$7</f>
        <v>0</v>
      </c>
      <c r="I2019" s="537" t="str">
        <f t="shared" si="383"/>
        <v>-</v>
      </c>
      <c r="J2019" s="538">
        <f t="shared" si="384"/>
        <v>0</v>
      </c>
      <c r="K2019" s="539" t="s">
        <v>2299</v>
      </c>
      <c r="L2019" s="20"/>
      <c r="O2019" s="27"/>
      <c r="P2019" s="110">
        <v>0</v>
      </c>
      <c r="R2019" s="29" t="s">
        <v>2307</v>
      </c>
    </row>
    <row r="2020" spans="1:19" ht="16.5" thickBot="1">
      <c r="A2020" s="14">
        <f>A1980+1</f>
        <v>43</v>
      </c>
      <c r="B2020" s="14" t="str">
        <f>"MO" &amp; TEXT(A2020,"##000")</f>
        <v>MO043</v>
      </c>
      <c r="D2020" s="18"/>
      <c r="E2020" s="591" t="s">
        <v>2301</v>
      </c>
      <c r="F2020" s="592"/>
      <c r="G2020" s="592"/>
      <c r="H2020" s="592"/>
      <c r="I2020" s="327"/>
      <c r="J2020" s="362">
        <f>SUM(J2015:J2019)</f>
        <v>20.817329812499999</v>
      </c>
      <c r="K2020" s="365" t="str">
        <f>+G2015</f>
        <v>hs</v>
      </c>
      <c r="L2020" s="20"/>
      <c r="N2020" s="111">
        <f>+P2020+R2020</f>
        <v>19</v>
      </c>
      <c r="O2020" s="27"/>
      <c r="P2020" s="27">
        <f>SUM(P2013:P2019)</f>
        <v>10</v>
      </c>
      <c r="Q2020" s="26">
        <v>0.9</v>
      </c>
      <c r="R2020" s="287">
        <f>+Q2020*P2020</f>
        <v>9</v>
      </c>
      <c r="S2020" s="288"/>
    </row>
    <row r="2021" spans="1:19">
      <c r="D2021" s="18"/>
      <c r="E2021" s="593" t="s">
        <v>101</v>
      </c>
      <c r="F2021" s="594"/>
      <c r="G2021" s="594"/>
      <c r="H2021" s="594"/>
      <c r="I2021" s="594"/>
      <c r="J2021" s="595"/>
      <c r="K2021" s="347"/>
      <c r="L2021" s="20"/>
      <c r="P2021" s="14" t="s">
        <v>2308</v>
      </c>
    </row>
    <row r="2022" spans="1:19">
      <c r="A2022" s="14" t="s">
        <v>119</v>
      </c>
      <c r="D2022" s="18">
        <v>1</v>
      </c>
      <c r="E2022" s="26" t="str">
        <f>VLOOKUP($A2022,MATMO,2,FALSE)</f>
        <v>Herramientas de Mano</v>
      </c>
      <c r="F2022" s="311">
        <v>1</v>
      </c>
      <c r="G2022" s="307" t="str">
        <f>VLOOKUP($A2022,MATMO,3,FALSE)</f>
        <v>gl</v>
      </c>
      <c r="H2022" s="110">
        <f>+(J2013+J2020)*$Q$5</f>
        <v>2886.0626931925003</v>
      </c>
      <c r="I2022" s="345" t="str">
        <f>+G2022</f>
        <v>gl</v>
      </c>
      <c r="J2022" s="350">
        <f t="shared" ref="J2022:J2026" si="385">+H2022*F2022</f>
        <v>2886.0626931925003</v>
      </c>
      <c r="K2022" s="360" t="s">
        <v>2299</v>
      </c>
      <c r="L2022" s="20"/>
      <c r="M2022" s="14" t="s">
        <v>2004</v>
      </c>
    </row>
    <row r="2023" spans="1:19">
      <c r="A2023" s="14" t="s">
        <v>118</v>
      </c>
      <c r="D2023" s="18">
        <v>2</v>
      </c>
      <c r="E2023" s="26" t="str">
        <f>VLOOKUP($A2023,MATMO,2,FALSE)</f>
        <v>-</v>
      </c>
      <c r="F2023" s="311"/>
      <c r="G2023" s="307" t="str">
        <f>VLOOKUP($A2023,MATMO,3,FALSE)</f>
        <v>-</v>
      </c>
      <c r="H2023" s="110">
        <f>VLOOKUP($A2023,MATMO,4,FALSE)*$Q$6</f>
        <v>0</v>
      </c>
      <c r="I2023" s="543" t="str">
        <f t="shared" ref="I2023:I2026" si="386">+G2023</f>
        <v>-</v>
      </c>
      <c r="J2023" s="538">
        <f t="shared" si="385"/>
        <v>0</v>
      </c>
      <c r="K2023" s="539" t="s">
        <v>2299</v>
      </c>
      <c r="L2023" s="20"/>
    </row>
    <row r="2024" spans="1:19">
      <c r="A2024" s="14" t="s">
        <v>118</v>
      </c>
      <c r="D2024" s="18">
        <v>3</v>
      </c>
      <c r="E2024" s="26" t="str">
        <f>VLOOKUP($A2024,MATMO,2,FALSE)</f>
        <v>-</v>
      </c>
      <c r="F2024" s="311"/>
      <c r="G2024" s="307" t="str">
        <f>VLOOKUP($A2024,MATMO,3,FALSE)</f>
        <v>-</v>
      </c>
      <c r="H2024" s="110">
        <f>VLOOKUP($A2024,MATMO,4,FALSE)*$Q$6</f>
        <v>0</v>
      </c>
      <c r="I2024" s="543" t="str">
        <f t="shared" si="386"/>
        <v>-</v>
      </c>
      <c r="J2024" s="538">
        <f t="shared" si="385"/>
        <v>0</v>
      </c>
      <c r="K2024" s="539" t="s">
        <v>2299</v>
      </c>
      <c r="L2024" s="20"/>
    </row>
    <row r="2025" spans="1:19">
      <c r="A2025" s="14" t="s">
        <v>118</v>
      </c>
      <c r="D2025" s="18">
        <v>4</v>
      </c>
      <c r="E2025" s="26" t="str">
        <f>VLOOKUP($A2025,MATMO,2,FALSE)</f>
        <v>-</v>
      </c>
      <c r="F2025" s="311"/>
      <c r="G2025" s="307" t="str">
        <f>VLOOKUP($A2025,MATMO,3,FALSE)</f>
        <v>-</v>
      </c>
      <c r="H2025" s="110">
        <f>VLOOKUP($A2025,MATMO,4,FALSE)*$Q$6</f>
        <v>0</v>
      </c>
      <c r="I2025" s="543" t="str">
        <f t="shared" si="386"/>
        <v>-</v>
      </c>
      <c r="J2025" s="538">
        <f t="shared" si="385"/>
        <v>0</v>
      </c>
      <c r="K2025" s="539" t="s">
        <v>2299</v>
      </c>
      <c r="L2025" s="20"/>
    </row>
    <row r="2026" spans="1:19">
      <c r="A2026" s="14" t="s">
        <v>118</v>
      </c>
      <c r="D2026" s="18">
        <v>5</v>
      </c>
      <c r="E2026" s="26" t="str">
        <f>VLOOKUP($A2026,MATMO,2,FALSE)</f>
        <v>-</v>
      </c>
      <c r="F2026" s="311"/>
      <c r="G2026" s="307" t="str">
        <f>VLOOKUP($A2026,MATMO,3,FALSE)</f>
        <v>-</v>
      </c>
      <c r="H2026" s="110">
        <f>VLOOKUP($A2026,MATMO,4,FALSE)*$Q$6</f>
        <v>0</v>
      </c>
      <c r="I2026" s="543" t="str">
        <f t="shared" si="386"/>
        <v>-</v>
      </c>
      <c r="J2026" s="538">
        <f t="shared" si="385"/>
        <v>0</v>
      </c>
      <c r="K2026" s="539" t="s">
        <v>2299</v>
      </c>
      <c r="L2026" s="20"/>
    </row>
    <row r="2027" spans="1:19">
      <c r="A2027" s="14">
        <f>A1980+1</f>
        <v>43</v>
      </c>
      <c r="B2027" s="14" t="str">
        <f>"E" &amp; TEXT(A2027,"##000")</f>
        <v>E043</v>
      </c>
      <c r="D2027" s="18"/>
      <c r="E2027" s="591" t="s">
        <v>2300</v>
      </c>
      <c r="F2027" s="592"/>
      <c r="G2027" s="592"/>
      <c r="H2027" s="592"/>
      <c r="I2027" s="327"/>
      <c r="J2027" s="362">
        <f>SUM(J2022:J2026)</f>
        <v>2886.0626931925003</v>
      </c>
      <c r="K2027" s="365" t="s">
        <v>116</v>
      </c>
      <c r="L2027" s="20"/>
    </row>
    <row r="2028" spans="1:19">
      <c r="D2028" s="18"/>
      <c r="E2028" s="596"/>
      <c r="F2028" s="597"/>
      <c r="G2028" s="597"/>
      <c r="H2028" s="597"/>
      <c r="I2028" s="597"/>
      <c r="J2028" s="598"/>
      <c r="K2028" s="348"/>
      <c r="L2028" s="20"/>
    </row>
    <row r="2029" spans="1:19">
      <c r="D2029" s="18"/>
      <c r="E2029" s="591" t="s">
        <v>2306</v>
      </c>
      <c r="F2029" s="592"/>
      <c r="G2029" s="592"/>
      <c r="H2029" s="592"/>
      <c r="I2029" s="327"/>
      <c r="J2029" s="308">
        <f>+J2027+J2020+J2013</f>
        <v>75037.630023004996</v>
      </c>
      <c r="K2029" s="365" t="str">
        <f>+F1990</f>
        <v>ud</v>
      </c>
      <c r="L2029" s="20"/>
    </row>
    <row r="2030" spans="1:19">
      <c r="D2030" s="18"/>
      <c r="E2030" s="591" t="s">
        <v>2305</v>
      </c>
      <c r="F2030" s="592"/>
      <c r="G2030" s="592"/>
      <c r="H2030" s="592"/>
      <c r="I2030" s="406">
        <f>+$Q$9</f>
        <v>1.6902999999999999</v>
      </c>
      <c r="J2030" s="308">
        <f>+$Q$9*J2029</f>
        <v>126836.10602788534</v>
      </c>
      <c r="K2030" s="365" t="str">
        <f>+F1990</f>
        <v>ud</v>
      </c>
      <c r="L2030" s="20"/>
    </row>
    <row r="2031" spans="1:19">
      <c r="A2031" s="14">
        <f>A1984+1</f>
        <v>43</v>
      </c>
      <c r="B2031" s="14" t="str">
        <f>"TR" &amp; TEXT(A2031,"##000")</f>
        <v>TR043</v>
      </c>
      <c r="C2031" s="14">
        <f>+C1984+1</f>
        <v>43</v>
      </c>
      <c r="D2031" s="18"/>
      <c r="E2031" s="591" t="s">
        <v>2304</v>
      </c>
      <c r="F2031" s="592"/>
      <c r="G2031" s="592"/>
      <c r="H2031" s="592"/>
      <c r="I2031" s="327"/>
      <c r="J2031" s="308">
        <f>+J2030</f>
        <v>126836.10602788534</v>
      </c>
      <c r="K2031" s="365" t="str">
        <f>+F1990</f>
        <v>ud</v>
      </c>
      <c r="L2031" s="20"/>
    </row>
    <row r="2032" spans="1:19" ht="16.5" thickBot="1">
      <c r="D2032" s="21"/>
      <c r="E2032" s="30"/>
      <c r="F2032" s="30"/>
      <c r="G2032" s="30"/>
      <c r="H2032" s="30"/>
      <c r="I2032" s="30"/>
      <c r="J2032" s="30"/>
      <c r="K2032" s="349"/>
      <c r="L2032" s="22"/>
    </row>
    <row r="2033" spans="1:13" ht="16.5" thickTop="1">
      <c r="D2033" s="15"/>
      <c r="E2033" s="16"/>
      <c r="F2033" s="16"/>
      <c r="G2033" s="16"/>
      <c r="H2033" s="16"/>
      <c r="I2033" s="16"/>
      <c r="J2033" s="16"/>
      <c r="K2033" s="16"/>
      <c r="L2033" s="17"/>
    </row>
    <row r="2034" spans="1:13">
      <c r="A2034" s="14" t="s">
        <v>1860</v>
      </c>
      <c r="D2034" s="18"/>
      <c r="E2034" s="23" t="s">
        <v>95</v>
      </c>
      <c r="F2034" s="24" t="str">
        <f>VLOOKUP($A2034,DATRUB,3,FALSE)</f>
        <v>RUBRO XI:</v>
      </c>
      <c r="G2034" s="599" t="str">
        <f>VLOOKUP($A2034,DATRUB,4,FALSE)</f>
        <v>CARPINTERÍA METÁLICA y HERRERÍA</v>
      </c>
      <c r="H2034" s="599"/>
      <c r="I2034" s="599"/>
      <c r="J2034" s="599"/>
      <c r="K2034" s="599"/>
      <c r="L2034" s="20"/>
    </row>
    <row r="2035" spans="1:13" ht="35.1" customHeight="1">
      <c r="A2035" s="14" t="s">
        <v>1865</v>
      </c>
      <c r="D2035" s="18"/>
      <c r="E2035" s="23" t="s">
        <v>96</v>
      </c>
      <c r="F2035" s="399">
        <f>VLOOKUP($A2035,DATRUB,3,FALSE)</f>
        <v>11.6</v>
      </c>
      <c r="G2035" s="599" t="str">
        <f>VLOOKUP($A2035,DATRUB,4,FALSE)</f>
        <v>PV2: 6,67 x 2,55</v>
      </c>
      <c r="H2035" s="599"/>
      <c r="I2035" s="599"/>
      <c r="J2035" s="599"/>
      <c r="K2035" s="599"/>
      <c r="L2035" s="20"/>
    </row>
    <row r="2036" spans="1:13" ht="35.1" customHeight="1">
      <c r="A2036" s="14" t="s">
        <v>1865</v>
      </c>
      <c r="D2036" s="18"/>
      <c r="E2036" s="23" t="s">
        <v>97</v>
      </c>
      <c r="F2036" s="399">
        <f>VLOOKUP($A2036,DATRUB,3,FALSE)</f>
        <v>11.6</v>
      </c>
      <c r="G2036" s="599" t="str">
        <f>VLOOKUP($A2036,DATRUB,4,FALSE)</f>
        <v>PV2: 6,67 x 2,55</v>
      </c>
      <c r="H2036" s="599"/>
      <c r="I2036" s="599"/>
      <c r="J2036" s="599"/>
      <c r="K2036" s="599"/>
      <c r="L2036" s="20"/>
    </row>
    <row r="2037" spans="1:13">
      <c r="D2037" s="18"/>
      <c r="E2037" s="23" t="s">
        <v>98</v>
      </c>
      <c r="F2037" s="24" t="str">
        <f>VLOOKUP($A2036,DATRUB,5,FALSE)</f>
        <v>ud</v>
      </c>
      <c r="G2037" s="600"/>
      <c r="H2037" s="600"/>
      <c r="I2037" s="600"/>
      <c r="J2037" s="600"/>
      <c r="K2037" s="600"/>
      <c r="L2037" s="20"/>
    </row>
    <row r="2038" spans="1:13">
      <c r="D2038" s="18"/>
      <c r="E2038" s="24" t="s">
        <v>1158</v>
      </c>
      <c r="F2038" s="25" t="s">
        <v>1250</v>
      </c>
      <c r="G2038" s="24" t="s">
        <v>24</v>
      </c>
      <c r="H2038" s="24" t="s">
        <v>25</v>
      </c>
      <c r="I2038" s="24" t="s">
        <v>24</v>
      </c>
      <c r="J2038" s="24" t="s">
        <v>2298</v>
      </c>
      <c r="K2038" s="24" t="s">
        <v>24</v>
      </c>
      <c r="L2038" s="20"/>
    </row>
    <row r="2039" spans="1:13">
      <c r="D2039" s="18"/>
      <c r="E2039" s="593" t="s">
        <v>99</v>
      </c>
      <c r="F2039" s="594"/>
      <c r="G2039" s="594"/>
      <c r="H2039" s="594"/>
      <c r="I2039" s="594"/>
      <c r="J2039" s="594"/>
      <c r="K2039" s="595"/>
      <c r="L2039" s="20"/>
    </row>
    <row r="2040" spans="1:13">
      <c r="A2040" s="14" t="s">
        <v>2392</v>
      </c>
      <c r="D2040" s="18">
        <v>1</v>
      </c>
      <c r="E2040" s="355" t="str">
        <f t="shared" ref="E2040:E2059" si="387">VLOOKUP($A2040,MATMO,2,FALSE)</f>
        <v>PV2: 6,67 x 2,55</v>
      </c>
      <c r="F2040" s="356">
        <v>1</v>
      </c>
      <c r="G2040" s="357" t="str">
        <f t="shared" ref="G2040:G2059" si="388">VLOOKUP($A2040,MATMO,3,FALSE)</f>
        <v>un</v>
      </c>
      <c r="H2040" s="358">
        <f t="shared" ref="H2040:H2059" si="389">VLOOKUP($A2040,MATMO,4,FALSE)*$Q$6</f>
        <v>55227.42</v>
      </c>
      <c r="I2040" s="359" t="str">
        <f t="shared" ref="I2040:I2059" si="390">+G2040</f>
        <v>un</v>
      </c>
      <c r="J2040" s="361">
        <f>+H2040*F2040</f>
        <v>55227.42</v>
      </c>
      <c r="K2040" s="360" t="s">
        <v>2299</v>
      </c>
      <c r="L2040" s="20"/>
      <c r="M2040" s="14" t="s">
        <v>2005</v>
      </c>
    </row>
    <row r="2041" spans="1:13">
      <c r="A2041" s="14" t="s">
        <v>31</v>
      </c>
      <c r="D2041" s="18">
        <v>2</v>
      </c>
      <c r="E2041" s="26" t="str">
        <f t="shared" si="387"/>
        <v>-</v>
      </c>
      <c r="F2041" s="311"/>
      <c r="G2041" s="307" t="str">
        <f t="shared" si="388"/>
        <v>-</v>
      </c>
      <c r="H2041" s="351">
        <f t="shared" si="389"/>
        <v>0</v>
      </c>
      <c r="I2041" s="537" t="str">
        <f t="shared" si="390"/>
        <v>-</v>
      </c>
      <c r="J2041" s="538">
        <f t="shared" ref="J2041:J2059" si="391">+H2041*F2041</f>
        <v>0</v>
      </c>
      <c r="K2041" s="539" t="s">
        <v>2299</v>
      </c>
      <c r="L2041" s="20"/>
    </row>
    <row r="2042" spans="1:13">
      <c r="A2042" s="14" t="s">
        <v>31</v>
      </c>
      <c r="D2042" s="18">
        <v>3</v>
      </c>
      <c r="E2042" s="26" t="str">
        <f t="shared" si="387"/>
        <v>-</v>
      </c>
      <c r="F2042" s="311"/>
      <c r="G2042" s="307" t="str">
        <f t="shared" si="388"/>
        <v>-</v>
      </c>
      <c r="H2042" s="351">
        <f t="shared" si="389"/>
        <v>0</v>
      </c>
      <c r="I2042" s="537" t="str">
        <f t="shared" si="390"/>
        <v>-</v>
      </c>
      <c r="J2042" s="538">
        <f t="shared" si="391"/>
        <v>0</v>
      </c>
      <c r="K2042" s="539" t="s">
        <v>2299</v>
      </c>
      <c r="L2042" s="20"/>
    </row>
    <row r="2043" spans="1:13">
      <c r="A2043" s="14" t="s">
        <v>31</v>
      </c>
      <c r="D2043" s="18">
        <v>4</v>
      </c>
      <c r="E2043" s="26" t="str">
        <f t="shared" si="387"/>
        <v>-</v>
      </c>
      <c r="F2043" s="311"/>
      <c r="G2043" s="307" t="str">
        <f t="shared" si="388"/>
        <v>-</v>
      </c>
      <c r="H2043" s="351">
        <f t="shared" si="389"/>
        <v>0</v>
      </c>
      <c r="I2043" s="537" t="str">
        <f t="shared" si="390"/>
        <v>-</v>
      </c>
      <c r="J2043" s="538">
        <f t="shared" si="391"/>
        <v>0</v>
      </c>
      <c r="K2043" s="539" t="s">
        <v>2299</v>
      </c>
      <c r="L2043" s="20"/>
    </row>
    <row r="2044" spans="1:13">
      <c r="A2044" s="14" t="s">
        <v>31</v>
      </c>
      <c r="D2044" s="18">
        <v>5</v>
      </c>
      <c r="E2044" s="26" t="str">
        <f t="shared" si="387"/>
        <v>-</v>
      </c>
      <c r="F2044" s="311"/>
      <c r="G2044" s="307" t="str">
        <f t="shared" si="388"/>
        <v>-</v>
      </c>
      <c r="H2044" s="351">
        <f t="shared" si="389"/>
        <v>0</v>
      </c>
      <c r="I2044" s="537" t="str">
        <f t="shared" si="390"/>
        <v>-</v>
      </c>
      <c r="J2044" s="538">
        <f t="shared" si="391"/>
        <v>0</v>
      </c>
      <c r="K2044" s="539" t="s">
        <v>2299</v>
      </c>
      <c r="L2044" s="20"/>
    </row>
    <row r="2045" spans="1:13">
      <c r="A2045" s="14" t="s">
        <v>31</v>
      </c>
      <c r="D2045" s="18">
        <v>6</v>
      </c>
      <c r="E2045" s="26" t="str">
        <f t="shared" si="387"/>
        <v>-</v>
      </c>
      <c r="F2045" s="311"/>
      <c r="G2045" s="307" t="str">
        <f t="shared" si="388"/>
        <v>-</v>
      </c>
      <c r="H2045" s="351">
        <f t="shared" si="389"/>
        <v>0</v>
      </c>
      <c r="I2045" s="537" t="str">
        <f t="shared" si="390"/>
        <v>-</v>
      </c>
      <c r="J2045" s="538">
        <f t="shared" si="391"/>
        <v>0</v>
      </c>
      <c r="K2045" s="539" t="s">
        <v>2299</v>
      </c>
      <c r="L2045" s="20"/>
    </row>
    <row r="2046" spans="1:13">
      <c r="A2046" s="14" t="s">
        <v>31</v>
      </c>
      <c r="D2046" s="18">
        <v>7</v>
      </c>
      <c r="E2046" s="26" t="str">
        <f t="shared" si="387"/>
        <v>-</v>
      </c>
      <c r="F2046" s="311"/>
      <c r="G2046" s="307" t="str">
        <f t="shared" si="388"/>
        <v>-</v>
      </c>
      <c r="H2046" s="351">
        <f t="shared" si="389"/>
        <v>0</v>
      </c>
      <c r="I2046" s="537" t="str">
        <f t="shared" si="390"/>
        <v>-</v>
      </c>
      <c r="J2046" s="538">
        <f t="shared" si="391"/>
        <v>0</v>
      </c>
      <c r="K2046" s="539" t="s">
        <v>2299</v>
      </c>
      <c r="L2046" s="20"/>
    </row>
    <row r="2047" spans="1:13">
      <c r="A2047" s="14" t="s">
        <v>31</v>
      </c>
      <c r="D2047" s="18">
        <v>8</v>
      </c>
      <c r="E2047" s="26" t="str">
        <f t="shared" si="387"/>
        <v>-</v>
      </c>
      <c r="F2047" s="311"/>
      <c r="G2047" s="307" t="str">
        <f t="shared" si="388"/>
        <v>-</v>
      </c>
      <c r="H2047" s="351">
        <f t="shared" si="389"/>
        <v>0</v>
      </c>
      <c r="I2047" s="537" t="str">
        <f t="shared" si="390"/>
        <v>-</v>
      </c>
      <c r="J2047" s="538">
        <f t="shared" si="391"/>
        <v>0</v>
      </c>
      <c r="K2047" s="539" t="s">
        <v>2299</v>
      </c>
      <c r="L2047" s="20"/>
    </row>
    <row r="2048" spans="1:13">
      <c r="A2048" s="14" t="s">
        <v>31</v>
      </c>
      <c r="D2048" s="18">
        <v>9</v>
      </c>
      <c r="E2048" s="26" t="str">
        <f t="shared" si="387"/>
        <v>-</v>
      </c>
      <c r="F2048" s="311"/>
      <c r="G2048" s="307" t="str">
        <f t="shared" si="388"/>
        <v>-</v>
      </c>
      <c r="H2048" s="351">
        <f t="shared" si="389"/>
        <v>0</v>
      </c>
      <c r="I2048" s="537" t="str">
        <f t="shared" si="390"/>
        <v>-</v>
      </c>
      <c r="J2048" s="538">
        <f t="shared" si="391"/>
        <v>0</v>
      </c>
      <c r="K2048" s="539" t="s">
        <v>2299</v>
      </c>
      <c r="L2048" s="20"/>
    </row>
    <row r="2049" spans="1:16">
      <c r="A2049" s="14" t="s">
        <v>31</v>
      </c>
      <c r="D2049" s="18">
        <v>10</v>
      </c>
      <c r="E2049" s="26" t="str">
        <f t="shared" si="387"/>
        <v>-</v>
      </c>
      <c r="F2049" s="311"/>
      <c r="G2049" s="307" t="str">
        <f t="shared" si="388"/>
        <v>-</v>
      </c>
      <c r="H2049" s="351">
        <f t="shared" si="389"/>
        <v>0</v>
      </c>
      <c r="I2049" s="537" t="str">
        <f t="shared" si="390"/>
        <v>-</v>
      </c>
      <c r="J2049" s="538">
        <f t="shared" si="391"/>
        <v>0</v>
      </c>
      <c r="K2049" s="539" t="s">
        <v>2299</v>
      </c>
      <c r="L2049" s="20"/>
    </row>
    <row r="2050" spans="1:16">
      <c r="A2050" s="14" t="s">
        <v>31</v>
      </c>
      <c r="D2050" s="18">
        <v>11</v>
      </c>
      <c r="E2050" s="26" t="str">
        <f t="shared" si="387"/>
        <v>-</v>
      </c>
      <c r="F2050" s="311"/>
      <c r="G2050" s="307" t="str">
        <f t="shared" si="388"/>
        <v>-</v>
      </c>
      <c r="H2050" s="351">
        <f t="shared" si="389"/>
        <v>0</v>
      </c>
      <c r="I2050" s="537" t="str">
        <f t="shared" si="390"/>
        <v>-</v>
      </c>
      <c r="J2050" s="538">
        <f t="shared" si="391"/>
        <v>0</v>
      </c>
      <c r="K2050" s="539" t="s">
        <v>2299</v>
      </c>
      <c r="L2050" s="20"/>
    </row>
    <row r="2051" spans="1:16">
      <c r="A2051" s="14" t="s">
        <v>31</v>
      </c>
      <c r="D2051" s="18">
        <v>12</v>
      </c>
      <c r="E2051" s="26" t="str">
        <f t="shared" si="387"/>
        <v>-</v>
      </c>
      <c r="F2051" s="311"/>
      <c r="G2051" s="307" t="str">
        <f t="shared" si="388"/>
        <v>-</v>
      </c>
      <c r="H2051" s="352">
        <f t="shared" si="389"/>
        <v>0</v>
      </c>
      <c r="I2051" s="537" t="str">
        <f t="shared" si="390"/>
        <v>-</v>
      </c>
      <c r="J2051" s="538">
        <f t="shared" si="391"/>
        <v>0</v>
      </c>
      <c r="K2051" s="539" t="s">
        <v>2299</v>
      </c>
      <c r="L2051" s="20"/>
    </row>
    <row r="2052" spans="1:16">
      <c r="A2052" s="14" t="s">
        <v>31</v>
      </c>
      <c r="D2052" s="18">
        <v>13</v>
      </c>
      <c r="E2052" s="26" t="str">
        <f t="shared" si="387"/>
        <v>-</v>
      </c>
      <c r="F2052" s="311"/>
      <c r="G2052" s="307" t="str">
        <f t="shared" si="388"/>
        <v>-</v>
      </c>
      <c r="H2052" s="352">
        <f t="shared" si="389"/>
        <v>0</v>
      </c>
      <c r="I2052" s="537" t="str">
        <f t="shared" si="390"/>
        <v>-</v>
      </c>
      <c r="J2052" s="538">
        <f t="shared" si="391"/>
        <v>0</v>
      </c>
      <c r="K2052" s="539" t="s">
        <v>2299</v>
      </c>
      <c r="L2052" s="20"/>
    </row>
    <row r="2053" spans="1:16">
      <c r="A2053" s="14" t="s">
        <v>31</v>
      </c>
      <c r="D2053" s="18">
        <v>14</v>
      </c>
      <c r="E2053" s="26" t="str">
        <f t="shared" si="387"/>
        <v>-</v>
      </c>
      <c r="F2053" s="311"/>
      <c r="G2053" s="307" t="str">
        <f t="shared" si="388"/>
        <v>-</v>
      </c>
      <c r="H2053" s="352">
        <f t="shared" si="389"/>
        <v>0</v>
      </c>
      <c r="I2053" s="537" t="str">
        <f t="shared" si="390"/>
        <v>-</v>
      </c>
      <c r="J2053" s="538">
        <f t="shared" si="391"/>
        <v>0</v>
      </c>
      <c r="K2053" s="539" t="s">
        <v>2299</v>
      </c>
      <c r="L2053" s="20"/>
    </row>
    <row r="2054" spans="1:16">
      <c r="A2054" s="14" t="s">
        <v>31</v>
      </c>
      <c r="D2054" s="18">
        <v>15</v>
      </c>
      <c r="E2054" s="26" t="str">
        <f t="shared" si="387"/>
        <v>-</v>
      </c>
      <c r="F2054" s="311"/>
      <c r="G2054" s="307" t="str">
        <f t="shared" si="388"/>
        <v>-</v>
      </c>
      <c r="H2054" s="352">
        <f t="shared" si="389"/>
        <v>0</v>
      </c>
      <c r="I2054" s="537" t="str">
        <f t="shared" si="390"/>
        <v>-</v>
      </c>
      <c r="J2054" s="538">
        <f t="shared" si="391"/>
        <v>0</v>
      </c>
      <c r="K2054" s="539" t="s">
        <v>2299</v>
      </c>
      <c r="L2054" s="20"/>
    </row>
    <row r="2055" spans="1:16">
      <c r="A2055" s="14" t="s">
        <v>31</v>
      </c>
      <c r="D2055" s="18">
        <v>16</v>
      </c>
      <c r="E2055" s="26" t="str">
        <f t="shared" si="387"/>
        <v>-</v>
      </c>
      <c r="F2055" s="311"/>
      <c r="G2055" s="307" t="str">
        <f t="shared" si="388"/>
        <v>-</v>
      </c>
      <c r="H2055" s="352">
        <f t="shared" si="389"/>
        <v>0</v>
      </c>
      <c r="I2055" s="537" t="str">
        <f t="shared" si="390"/>
        <v>-</v>
      </c>
      <c r="J2055" s="538">
        <f t="shared" si="391"/>
        <v>0</v>
      </c>
      <c r="K2055" s="539" t="s">
        <v>2299</v>
      </c>
      <c r="L2055" s="20"/>
    </row>
    <row r="2056" spans="1:16">
      <c r="A2056" s="14" t="s">
        <v>31</v>
      </c>
      <c r="D2056" s="18">
        <v>17</v>
      </c>
      <c r="E2056" s="26" t="str">
        <f t="shared" si="387"/>
        <v>-</v>
      </c>
      <c r="F2056" s="311"/>
      <c r="G2056" s="307" t="str">
        <f t="shared" si="388"/>
        <v>-</v>
      </c>
      <c r="H2056" s="352">
        <f t="shared" si="389"/>
        <v>0</v>
      </c>
      <c r="I2056" s="537" t="str">
        <f t="shared" si="390"/>
        <v>-</v>
      </c>
      <c r="J2056" s="538">
        <f t="shared" si="391"/>
        <v>0</v>
      </c>
      <c r="K2056" s="539" t="s">
        <v>2299</v>
      </c>
      <c r="L2056" s="20"/>
    </row>
    <row r="2057" spans="1:16">
      <c r="A2057" s="14" t="s">
        <v>31</v>
      </c>
      <c r="D2057" s="18">
        <v>18</v>
      </c>
      <c r="E2057" s="26" t="str">
        <f t="shared" si="387"/>
        <v>-</v>
      </c>
      <c r="F2057" s="311"/>
      <c r="G2057" s="307" t="str">
        <f t="shared" si="388"/>
        <v>-</v>
      </c>
      <c r="H2057" s="352">
        <f t="shared" si="389"/>
        <v>0</v>
      </c>
      <c r="I2057" s="537" t="str">
        <f t="shared" si="390"/>
        <v>-</v>
      </c>
      <c r="J2057" s="538">
        <f t="shared" si="391"/>
        <v>0</v>
      </c>
      <c r="K2057" s="539" t="s">
        <v>2299</v>
      </c>
      <c r="L2057" s="20"/>
    </row>
    <row r="2058" spans="1:16">
      <c r="A2058" s="14" t="s">
        <v>31</v>
      </c>
      <c r="D2058" s="18">
        <v>19</v>
      </c>
      <c r="E2058" s="26" t="str">
        <f t="shared" si="387"/>
        <v>-</v>
      </c>
      <c r="F2058" s="311"/>
      <c r="G2058" s="307" t="str">
        <f t="shared" si="388"/>
        <v>-</v>
      </c>
      <c r="H2058" s="352">
        <f t="shared" si="389"/>
        <v>0</v>
      </c>
      <c r="I2058" s="537" t="str">
        <f t="shared" si="390"/>
        <v>-</v>
      </c>
      <c r="J2058" s="538">
        <f t="shared" si="391"/>
        <v>0</v>
      </c>
      <c r="K2058" s="539" t="s">
        <v>2299</v>
      </c>
      <c r="L2058" s="20"/>
    </row>
    <row r="2059" spans="1:16">
      <c r="A2059" s="14" t="s">
        <v>31</v>
      </c>
      <c r="D2059" s="18">
        <v>20</v>
      </c>
      <c r="E2059" s="26" t="str">
        <f t="shared" si="387"/>
        <v>-</v>
      </c>
      <c r="F2059" s="311"/>
      <c r="G2059" s="307" t="str">
        <f t="shared" si="388"/>
        <v>-</v>
      </c>
      <c r="H2059" s="352">
        <f t="shared" si="389"/>
        <v>0</v>
      </c>
      <c r="I2059" s="537" t="str">
        <f t="shared" si="390"/>
        <v>-</v>
      </c>
      <c r="J2059" s="541">
        <f t="shared" si="391"/>
        <v>0</v>
      </c>
      <c r="K2059" s="539" t="s">
        <v>2299</v>
      </c>
      <c r="L2059" s="20"/>
    </row>
    <row r="2060" spans="1:16">
      <c r="A2060" s="14">
        <f>A2027+1</f>
        <v>44</v>
      </c>
      <c r="B2060" s="14" t="str">
        <f>"MA" &amp; TEXT(A2060,"##000")</f>
        <v>MA044</v>
      </c>
      <c r="D2060" s="18"/>
      <c r="E2060" s="591" t="s">
        <v>2302</v>
      </c>
      <c r="F2060" s="592"/>
      <c r="G2060" s="592"/>
      <c r="H2060" s="592"/>
      <c r="I2060" s="327"/>
      <c r="J2060" s="353">
        <f>SUM(J2040:J2059)</f>
        <v>55227.42</v>
      </c>
      <c r="K2060" s="365" t="str">
        <f>+F2037</f>
        <v>ud</v>
      </c>
      <c r="L2060" s="20"/>
      <c r="O2060" s="27" t="s">
        <v>1525</v>
      </c>
      <c r="P2060" s="110">
        <v>10</v>
      </c>
    </row>
    <row r="2061" spans="1:16">
      <c r="D2061" s="18"/>
      <c r="E2061" s="593" t="s">
        <v>100</v>
      </c>
      <c r="F2061" s="594"/>
      <c r="G2061" s="594"/>
      <c r="H2061" s="594"/>
      <c r="I2061" s="594"/>
      <c r="J2061" s="595"/>
      <c r="K2061" s="347"/>
      <c r="L2061" s="20"/>
      <c r="O2061" s="27" t="s">
        <v>1524</v>
      </c>
      <c r="P2061" s="110">
        <v>0</v>
      </c>
    </row>
    <row r="2062" spans="1:16">
      <c r="A2062" s="14" t="s">
        <v>84</v>
      </c>
      <c r="D2062" s="18">
        <v>1</v>
      </c>
      <c r="E2062" s="26" t="str">
        <f>VLOOKUP($A2062,MATMO,2,FALSE)</f>
        <v>Oficial</v>
      </c>
      <c r="F2062" s="311">
        <v>0.15</v>
      </c>
      <c r="G2062" s="307" t="str">
        <f>VLOOKUP($A2062,MATMO,3,FALSE)</f>
        <v>hs</v>
      </c>
      <c r="H2062" s="110">
        <f>VLOOKUP($A2062,MATMO,4,FALSE)*$Q$7</f>
        <v>55.38</v>
      </c>
      <c r="I2062" s="354" t="str">
        <f t="shared" ref="I2062:I2066" si="392">+G2062</f>
        <v>hs</v>
      </c>
      <c r="J2062" s="350">
        <f t="shared" ref="J2062:J2066" si="393">+H2062*F2062</f>
        <v>8.3070000000000004</v>
      </c>
      <c r="K2062" s="360" t="s">
        <v>2299</v>
      </c>
      <c r="L2062" s="20"/>
      <c r="M2062" s="14" t="s">
        <v>2006</v>
      </c>
      <c r="O2062" s="27" t="s">
        <v>1526</v>
      </c>
      <c r="P2062" s="110">
        <v>0</v>
      </c>
    </row>
    <row r="2063" spans="1:16">
      <c r="A2063" s="14" t="s">
        <v>85</v>
      </c>
      <c r="D2063" s="18">
        <v>2</v>
      </c>
      <c r="E2063" s="26" t="str">
        <f>VLOOKUP($A2063,MATMO,2,FALSE)</f>
        <v>Ayudante</v>
      </c>
      <c r="F2063" s="311">
        <v>0.05</v>
      </c>
      <c r="G2063" s="307" t="str">
        <f>VLOOKUP($A2063,MATMO,3,FALSE)</f>
        <v>hs</v>
      </c>
      <c r="H2063" s="110">
        <f>VLOOKUP($A2063,MATMO,4,FALSE)*$Q$7</f>
        <v>46.87</v>
      </c>
      <c r="I2063" s="354" t="str">
        <f t="shared" si="392"/>
        <v>hs</v>
      </c>
      <c r="J2063" s="350">
        <f t="shared" si="393"/>
        <v>2.3435000000000001</v>
      </c>
      <c r="K2063" s="360" t="s">
        <v>2299</v>
      </c>
      <c r="L2063" s="20"/>
      <c r="O2063" s="27" t="s">
        <v>1527</v>
      </c>
      <c r="P2063" s="110">
        <v>0</v>
      </c>
    </row>
    <row r="2064" spans="1:16">
      <c r="A2064" s="14" t="s">
        <v>2311</v>
      </c>
      <c r="D2064" s="18">
        <v>3</v>
      </c>
      <c r="E2064" s="26" t="str">
        <f>VLOOKUP($A2064,MATMO,2,FALSE)</f>
        <v>Cargas Sociales Oficial</v>
      </c>
      <c r="F2064" s="311">
        <f>+F2062</f>
        <v>0.15</v>
      </c>
      <c r="G2064" s="307" t="str">
        <f>VLOOKUP($A2064,MATMO,3,FALSE)</f>
        <v>hs</v>
      </c>
      <c r="H2064" s="110">
        <f>VLOOKUP($A2064,MATMO,4,FALSE)*$Q$7</f>
        <v>52.742782499999997</v>
      </c>
      <c r="I2064" s="354" t="str">
        <f t="shared" si="392"/>
        <v>hs</v>
      </c>
      <c r="J2064" s="350">
        <f t="shared" si="393"/>
        <v>7.9114173749999992</v>
      </c>
      <c r="K2064" s="360" t="s">
        <v>2299</v>
      </c>
      <c r="L2064" s="20"/>
      <c r="O2064" s="27"/>
      <c r="P2064" s="110">
        <v>0</v>
      </c>
    </row>
    <row r="2065" spans="1:19">
      <c r="A2065" s="14" t="s">
        <v>2312</v>
      </c>
      <c r="D2065" s="18">
        <v>4</v>
      </c>
      <c r="E2065" s="26" t="str">
        <f>VLOOKUP($A2065,MATMO,2,FALSE)</f>
        <v>Cargas Sociales Ayudante</v>
      </c>
      <c r="F2065" s="311">
        <f>+F2063</f>
        <v>0.05</v>
      </c>
      <c r="G2065" s="307" t="str">
        <f>VLOOKUP($A2065,MATMO,3,FALSE)</f>
        <v>hs</v>
      </c>
      <c r="H2065" s="110">
        <f>VLOOKUP($A2065,MATMO,4,FALSE)*$Q$7</f>
        <v>45.108248750000001</v>
      </c>
      <c r="I2065" s="354" t="str">
        <f t="shared" si="392"/>
        <v>hs</v>
      </c>
      <c r="J2065" s="350">
        <f t="shared" si="393"/>
        <v>2.2554124375</v>
      </c>
      <c r="K2065" s="360" t="s">
        <v>2299</v>
      </c>
      <c r="L2065" s="20"/>
      <c r="O2065" s="27"/>
      <c r="P2065" s="110">
        <v>0</v>
      </c>
    </row>
    <row r="2066" spans="1:19" ht="16.5" thickBot="1">
      <c r="A2066" s="14" t="s">
        <v>83</v>
      </c>
      <c r="D2066" s="18">
        <v>5</v>
      </c>
      <c r="E2066" s="26" t="str">
        <f>VLOOKUP($A2066,MATMO,2,FALSE)</f>
        <v>-</v>
      </c>
      <c r="F2066" s="311"/>
      <c r="G2066" s="307" t="str">
        <f>VLOOKUP($A2066,MATMO,3,FALSE)</f>
        <v>-</v>
      </c>
      <c r="H2066" s="110">
        <f>VLOOKUP($A2066,MATMO,4,FALSE)*$Q$7</f>
        <v>0</v>
      </c>
      <c r="I2066" s="537" t="str">
        <f t="shared" si="392"/>
        <v>-</v>
      </c>
      <c r="J2066" s="538">
        <f t="shared" si="393"/>
        <v>0</v>
      </c>
      <c r="K2066" s="539" t="s">
        <v>2299</v>
      </c>
      <c r="L2066" s="20"/>
      <c r="O2066" s="27"/>
      <c r="P2066" s="110">
        <v>0</v>
      </c>
      <c r="R2066" s="29" t="s">
        <v>2307</v>
      </c>
    </row>
    <row r="2067" spans="1:19" ht="16.5" thickBot="1">
      <c r="A2067" s="14">
        <f>A2027+1</f>
        <v>44</v>
      </c>
      <c r="B2067" s="14" t="str">
        <f>"MO" &amp; TEXT(A2067,"##000")</f>
        <v>MO044</v>
      </c>
      <c r="D2067" s="18"/>
      <c r="E2067" s="591" t="s">
        <v>2301</v>
      </c>
      <c r="F2067" s="592"/>
      <c r="G2067" s="592"/>
      <c r="H2067" s="592"/>
      <c r="I2067" s="327"/>
      <c r="J2067" s="362">
        <f>SUM(J2062:J2066)</f>
        <v>20.817329812499999</v>
      </c>
      <c r="K2067" s="365" t="str">
        <f>+G2062</f>
        <v>hs</v>
      </c>
      <c r="L2067" s="20"/>
      <c r="N2067" s="111">
        <f>+P2067+R2067</f>
        <v>19</v>
      </c>
      <c r="O2067" s="27"/>
      <c r="P2067" s="27">
        <f>SUM(P2060:P2066)</f>
        <v>10</v>
      </c>
      <c r="Q2067" s="26">
        <v>0.9</v>
      </c>
      <c r="R2067" s="287">
        <f>+Q2067*P2067</f>
        <v>9</v>
      </c>
      <c r="S2067" s="288"/>
    </row>
    <row r="2068" spans="1:19">
      <c r="D2068" s="18"/>
      <c r="E2068" s="593" t="s">
        <v>101</v>
      </c>
      <c r="F2068" s="594"/>
      <c r="G2068" s="594"/>
      <c r="H2068" s="594"/>
      <c r="I2068" s="594"/>
      <c r="J2068" s="595"/>
      <c r="K2068" s="347"/>
      <c r="L2068" s="20"/>
      <c r="P2068" s="14" t="s">
        <v>2308</v>
      </c>
    </row>
    <row r="2069" spans="1:19">
      <c r="A2069" s="14" t="s">
        <v>119</v>
      </c>
      <c r="D2069" s="18">
        <v>1</v>
      </c>
      <c r="E2069" s="26" t="str">
        <f>VLOOKUP($A2069,MATMO,2,FALSE)</f>
        <v>Herramientas de Mano</v>
      </c>
      <c r="F2069" s="311">
        <v>1</v>
      </c>
      <c r="G2069" s="307" t="str">
        <f>VLOOKUP($A2069,MATMO,3,FALSE)</f>
        <v>gl</v>
      </c>
      <c r="H2069" s="110">
        <f>+(J2060+J2067)*$Q$5</f>
        <v>2209.9294931924996</v>
      </c>
      <c r="I2069" s="345" t="str">
        <f>+G2069</f>
        <v>gl</v>
      </c>
      <c r="J2069" s="350">
        <f t="shared" ref="J2069:J2073" si="394">+H2069*F2069</f>
        <v>2209.9294931924996</v>
      </c>
      <c r="K2069" s="360" t="s">
        <v>2299</v>
      </c>
      <c r="L2069" s="20"/>
      <c r="M2069" s="14" t="s">
        <v>2004</v>
      </c>
    </row>
    <row r="2070" spans="1:19">
      <c r="A2070" s="14" t="s">
        <v>118</v>
      </c>
      <c r="D2070" s="18">
        <v>2</v>
      </c>
      <c r="E2070" s="26" t="str">
        <f>VLOOKUP($A2070,MATMO,2,FALSE)</f>
        <v>-</v>
      </c>
      <c r="F2070" s="311"/>
      <c r="G2070" s="307" t="str">
        <f>VLOOKUP($A2070,MATMO,3,FALSE)</f>
        <v>-</v>
      </c>
      <c r="H2070" s="110">
        <f>VLOOKUP($A2070,MATMO,4,FALSE)*$Q$6</f>
        <v>0</v>
      </c>
      <c r="I2070" s="543" t="str">
        <f t="shared" ref="I2070:I2073" si="395">+G2070</f>
        <v>-</v>
      </c>
      <c r="J2070" s="538">
        <f t="shared" si="394"/>
        <v>0</v>
      </c>
      <c r="K2070" s="539" t="s">
        <v>2299</v>
      </c>
      <c r="L2070" s="20"/>
    </row>
    <row r="2071" spans="1:19">
      <c r="A2071" s="14" t="s">
        <v>118</v>
      </c>
      <c r="D2071" s="18">
        <v>3</v>
      </c>
      <c r="E2071" s="26" t="str">
        <f>VLOOKUP($A2071,MATMO,2,FALSE)</f>
        <v>-</v>
      </c>
      <c r="F2071" s="311"/>
      <c r="G2071" s="307" t="str">
        <f>VLOOKUP($A2071,MATMO,3,FALSE)</f>
        <v>-</v>
      </c>
      <c r="H2071" s="110">
        <f>VLOOKUP($A2071,MATMO,4,FALSE)*$Q$6</f>
        <v>0</v>
      </c>
      <c r="I2071" s="543" t="str">
        <f t="shared" si="395"/>
        <v>-</v>
      </c>
      <c r="J2071" s="538">
        <f t="shared" si="394"/>
        <v>0</v>
      </c>
      <c r="K2071" s="539" t="s">
        <v>2299</v>
      </c>
      <c r="L2071" s="20"/>
    </row>
    <row r="2072" spans="1:19">
      <c r="A2072" s="14" t="s">
        <v>118</v>
      </c>
      <c r="D2072" s="18">
        <v>4</v>
      </c>
      <c r="E2072" s="26" t="str">
        <f>VLOOKUP($A2072,MATMO,2,FALSE)</f>
        <v>-</v>
      </c>
      <c r="F2072" s="311"/>
      <c r="G2072" s="307" t="str">
        <f>VLOOKUP($A2072,MATMO,3,FALSE)</f>
        <v>-</v>
      </c>
      <c r="H2072" s="110">
        <f>VLOOKUP($A2072,MATMO,4,FALSE)*$Q$6</f>
        <v>0</v>
      </c>
      <c r="I2072" s="543" t="str">
        <f t="shared" si="395"/>
        <v>-</v>
      </c>
      <c r="J2072" s="538">
        <f t="shared" si="394"/>
        <v>0</v>
      </c>
      <c r="K2072" s="539" t="s">
        <v>2299</v>
      </c>
      <c r="L2072" s="20"/>
    </row>
    <row r="2073" spans="1:19">
      <c r="A2073" s="14" t="s">
        <v>118</v>
      </c>
      <c r="D2073" s="18">
        <v>5</v>
      </c>
      <c r="E2073" s="26" t="str">
        <f>VLOOKUP($A2073,MATMO,2,FALSE)</f>
        <v>-</v>
      </c>
      <c r="F2073" s="311"/>
      <c r="G2073" s="307" t="str">
        <f>VLOOKUP($A2073,MATMO,3,FALSE)</f>
        <v>-</v>
      </c>
      <c r="H2073" s="110">
        <f>VLOOKUP($A2073,MATMO,4,FALSE)*$Q$6</f>
        <v>0</v>
      </c>
      <c r="I2073" s="543" t="str">
        <f t="shared" si="395"/>
        <v>-</v>
      </c>
      <c r="J2073" s="538">
        <f t="shared" si="394"/>
        <v>0</v>
      </c>
      <c r="K2073" s="539" t="s">
        <v>2299</v>
      </c>
      <c r="L2073" s="20"/>
    </row>
    <row r="2074" spans="1:19">
      <c r="A2074" s="14">
        <f>A2027+1</f>
        <v>44</v>
      </c>
      <c r="B2074" s="14" t="str">
        <f>"E" &amp; TEXT(A2074,"##000")</f>
        <v>E044</v>
      </c>
      <c r="D2074" s="18"/>
      <c r="E2074" s="591" t="s">
        <v>2300</v>
      </c>
      <c r="F2074" s="592"/>
      <c r="G2074" s="592"/>
      <c r="H2074" s="592"/>
      <c r="I2074" s="327"/>
      <c r="J2074" s="362">
        <f>SUM(J2069:J2073)</f>
        <v>2209.9294931924996</v>
      </c>
      <c r="K2074" s="365" t="s">
        <v>116</v>
      </c>
      <c r="L2074" s="20"/>
    </row>
    <row r="2075" spans="1:19">
      <c r="D2075" s="18"/>
      <c r="E2075" s="596"/>
      <c r="F2075" s="597"/>
      <c r="G2075" s="597"/>
      <c r="H2075" s="597"/>
      <c r="I2075" s="597"/>
      <c r="J2075" s="598"/>
      <c r="K2075" s="348"/>
      <c r="L2075" s="20"/>
    </row>
    <row r="2076" spans="1:19">
      <c r="D2076" s="18"/>
      <c r="E2076" s="591" t="s">
        <v>2306</v>
      </c>
      <c r="F2076" s="592"/>
      <c r="G2076" s="592"/>
      <c r="H2076" s="592"/>
      <c r="I2076" s="327"/>
      <c r="J2076" s="308">
        <f>+J2074+J2067+J2060</f>
        <v>57458.166823004998</v>
      </c>
      <c r="K2076" s="365" t="str">
        <f>+F2037</f>
        <v>ud</v>
      </c>
      <c r="L2076" s="20"/>
    </row>
    <row r="2077" spans="1:19">
      <c r="D2077" s="18"/>
      <c r="E2077" s="591" t="s">
        <v>2305</v>
      </c>
      <c r="F2077" s="592"/>
      <c r="G2077" s="592"/>
      <c r="H2077" s="592"/>
      <c r="I2077" s="406">
        <f>+$Q$9</f>
        <v>1.6902999999999999</v>
      </c>
      <c r="J2077" s="308">
        <f>+$Q$9*J2076</f>
        <v>97121.539380925344</v>
      </c>
      <c r="K2077" s="365" t="str">
        <f>+F2037</f>
        <v>ud</v>
      </c>
      <c r="L2077" s="20"/>
    </row>
    <row r="2078" spans="1:19">
      <c r="A2078" s="14">
        <f>A2031+1</f>
        <v>44</v>
      </c>
      <c r="B2078" s="14" t="str">
        <f>"TR" &amp; TEXT(A2078,"##000")</f>
        <v>TR044</v>
      </c>
      <c r="C2078" s="14">
        <f>+C2031+1</f>
        <v>44</v>
      </c>
      <c r="D2078" s="18"/>
      <c r="E2078" s="591" t="s">
        <v>2304</v>
      </c>
      <c r="F2078" s="592"/>
      <c r="G2078" s="592"/>
      <c r="H2078" s="592"/>
      <c r="I2078" s="327"/>
      <c r="J2078" s="308">
        <f>+J2077</f>
        <v>97121.539380925344</v>
      </c>
      <c r="K2078" s="365" t="str">
        <f>+F2037</f>
        <v>ud</v>
      </c>
      <c r="L2078" s="20"/>
    </row>
    <row r="2079" spans="1:19" ht="16.5" thickBot="1">
      <c r="D2079" s="21"/>
      <c r="E2079" s="30"/>
      <c r="F2079" s="30"/>
      <c r="G2079" s="30"/>
      <c r="H2079" s="30"/>
      <c r="I2079" s="30"/>
      <c r="J2079" s="30"/>
      <c r="K2079" s="349"/>
      <c r="L2079" s="22"/>
    </row>
    <row r="2080" spans="1:19" ht="16.5" thickTop="1">
      <c r="D2080" s="15"/>
      <c r="E2080" s="16"/>
      <c r="F2080" s="16"/>
      <c r="G2080" s="16"/>
      <c r="H2080" s="16"/>
      <c r="I2080" s="16"/>
      <c r="J2080" s="16"/>
      <c r="K2080" s="16"/>
      <c r="L2080" s="17"/>
    </row>
    <row r="2081" spans="1:13">
      <c r="A2081" s="14" t="s">
        <v>1860</v>
      </c>
      <c r="D2081" s="18"/>
      <c r="E2081" s="23" t="s">
        <v>95</v>
      </c>
      <c r="F2081" s="364" t="str">
        <f>VLOOKUP($A2081,DATRUB,3,FALSE)</f>
        <v>RUBRO XI:</v>
      </c>
      <c r="G2081" s="599" t="str">
        <f>VLOOKUP($A2081,DATRUB,4,FALSE)</f>
        <v>CARPINTERÍA METÁLICA y HERRERÍA</v>
      </c>
      <c r="H2081" s="599"/>
      <c r="I2081" s="599"/>
      <c r="J2081" s="599"/>
      <c r="K2081" s="599"/>
      <c r="L2081" s="20"/>
    </row>
    <row r="2082" spans="1:13" ht="35.1" customHeight="1">
      <c r="A2082" s="14" t="s">
        <v>1866</v>
      </c>
      <c r="D2082" s="18"/>
      <c r="E2082" s="23" t="s">
        <v>96</v>
      </c>
      <c r="F2082" s="399">
        <f>VLOOKUP($A2082,DATRUB,3,FALSE)</f>
        <v>11.7</v>
      </c>
      <c r="G2082" s="599" t="str">
        <f>VLOOKUP($A2082,DATRUB,4,FALSE)</f>
        <v>PV3: 7,86 x 2,25</v>
      </c>
      <c r="H2082" s="599"/>
      <c r="I2082" s="599"/>
      <c r="J2082" s="599"/>
      <c r="K2082" s="599"/>
      <c r="L2082" s="20"/>
    </row>
    <row r="2083" spans="1:13" ht="35.1" customHeight="1">
      <c r="A2083" s="14" t="s">
        <v>1866</v>
      </c>
      <c r="D2083" s="18"/>
      <c r="E2083" s="23" t="s">
        <v>97</v>
      </c>
      <c r="F2083" s="399">
        <f>VLOOKUP($A2083,DATRUB,3,FALSE)</f>
        <v>11.7</v>
      </c>
      <c r="G2083" s="599" t="str">
        <f>VLOOKUP($A2083,DATRUB,4,FALSE)</f>
        <v>PV3: 7,86 x 2,25</v>
      </c>
      <c r="H2083" s="599"/>
      <c r="I2083" s="599"/>
      <c r="J2083" s="599"/>
      <c r="K2083" s="599"/>
      <c r="L2083" s="20"/>
    </row>
    <row r="2084" spans="1:13">
      <c r="D2084" s="18"/>
      <c r="E2084" s="23" t="s">
        <v>98</v>
      </c>
      <c r="F2084" s="364" t="str">
        <f>VLOOKUP($A2083,DATRUB,5,FALSE)</f>
        <v>ud</v>
      </c>
      <c r="G2084" s="600"/>
      <c r="H2084" s="600"/>
      <c r="I2084" s="600"/>
      <c r="J2084" s="600"/>
      <c r="K2084" s="600"/>
      <c r="L2084" s="20"/>
    </row>
    <row r="2085" spans="1:13">
      <c r="D2085" s="18"/>
      <c r="E2085" s="364" t="s">
        <v>1158</v>
      </c>
      <c r="F2085" s="363" t="s">
        <v>1250</v>
      </c>
      <c r="G2085" s="364" t="s">
        <v>24</v>
      </c>
      <c r="H2085" s="364" t="s">
        <v>25</v>
      </c>
      <c r="I2085" s="364" t="s">
        <v>24</v>
      </c>
      <c r="J2085" s="364" t="s">
        <v>2298</v>
      </c>
      <c r="K2085" s="364" t="s">
        <v>24</v>
      </c>
      <c r="L2085" s="20"/>
    </row>
    <row r="2086" spans="1:13">
      <c r="D2086" s="18"/>
      <c r="E2086" s="593" t="s">
        <v>99</v>
      </c>
      <c r="F2086" s="594"/>
      <c r="G2086" s="594"/>
      <c r="H2086" s="594"/>
      <c r="I2086" s="594"/>
      <c r="J2086" s="594"/>
      <c r="K2086" s="595"/>
      <c r="L2086" s="20"/>
    </row>
    <row r="2087" spans="1:13">
      <c r="A2087" s="14" t="s">
        <v>2393</v>
      </c>
      <c r="D2087" s="18">
        <v>1</v>
      </c>
      <c r="E2087" s="355" t="str">
        <f t="shared" ref="E2087:E2106" si="396">VLOOKUP($A2087,MATMO,2,FALSE)</f>
        <v>PV3: 7,86 x 2,25</v>
      </c>
      <c r="F2087" s="356">
        <v>1</v>
      </c>
      <c r="G2087" s="357" t="str">
        <f t="shared" ref="G2087:G2106" si="397">VLOOKUP($A2087,MATMO,3,FALSE)</f>
        <v>un</v>
      </c>
      <c r="H2087" s="358">
        <f t="shared" ref="H2087:H2106" si="398">VLOOKUP($A2087,MATMO,4,FALSE)*$Q$6</f>
        <v>52957.8</v>
      </c>
      <c r="I2087" s="359" t="str">
        <f t="shared" ref="I2087:I2106" si="399">+G2087</f>
        <v>un</v>
      </c>
      <c r="J2087" s="361">
        <f>+H2087*F2087</f>
        <v>52957.8</v>
      </c>
      <c r="K2087" s="360" t="s">
        <v>2299</v>
      </c>
      <c r="L2087" s="20"/>
      <c r="M2087" s="14" t="s">
        <v>2005</v>
      </c>
    </row>
    <row r="2088" spans="1:13">
      <c r="A2088" s="14" t="s">
        <v>31</v>
      </c>
      <c r="D2088" s="18">
        <v>2</v>
      </c>
      <c r="E2088" s="26" t="str">
        <f t="shared" si="396"/>
        <v>-</v>
      </c>
      <c r="F2088" s="311"/>
      <c r="G2088" s="307" t="str">
        <f t="shared" si="397"/>
        <v>-</v>
      </c>
      <c r="H2088" s="351">
        <f t="shared" si="398"/>
        <v>0</v>
      </c>
      <c r="I2088" s="537" t="str">
        <f t="shared" si="399"/>
        <v>-</v>
      </c>
      <c r="J2088" s="538">
        <f t="shared" ref="J2088:J2106" si="400">+H2088*F2088</f>
        <v>0</v>
      </c>
      <c r="K2088" s="539" t="s">
        <v>2299</v>
      </c>
      <c r="L2088" s="20"/>
    </row>
    <row r="2089" spans="1:13">
      <c r="A2089" s="14" t="s">
        <v>31</v>
      </c>
      <c r="D2089" s="18">
        <v>3</v>
      </c>
      <c r="E2089" s="26" t="str">
        <f t="shared" si="396"/>
        <v>-</v>
      </c>
      <c r="F2089" s="311"/>
      <c r="G2089" s="307" t="str">
        <f t="shared" si="397"/>
        <v>-</v>
      </c>
      <c r="H2089" s="351">
        <f t="shared" si="398"/>
        <v>0</v>
      </c>
      <c r="I2089" s="537" t="str">
        <f t="shared" si="399"/>
        <v>-</v>
      </c>
      <c r="J2089" s="538">
        <f t="shared" si="400"/>
        <v>0</v>
      </c>
      <c r="K2089" s="539" t="s">
        <v>2299</v>
      </c>
      <c r="L2089" s="20"/>
    </row>
    <row r="2090" spans="1:13">
      <c r="A2090" s="14" t="s">
        <v>31</v>
      </c>
      <c r="D2090" s="18">
        <v>4</v>
      </c>
      <c r="E2090" s="26" t="str">
        <f t="shared" si="396"/>
        <v>-</v>
      </c>
      <c r="F2090" s="311"/>
      <c r="G2090" s="307" t="str">
        <f t="shared" si="397"/>
        <v>-</v>
      </c>
      <c r="H2090" s="351">
        <f t="shared" si="398"/>
        <v>0</v>
      </c>
      <c r="I2090" s="537" t="str">
        <f t="shared" si="399"/>
        <v>-</v>
      </c>
      <c r="J2090" s="538">
        <f t="shared" si="400"/>
        <v>0</v>
      </c>
      <c r="K2090" s="539" t="s">
        <v>2299</v>
      </c>
      <c r="L2090" s="20"/>
    </row>
    <row r="2091" spans="1:13">
      <c r="A2091" s="14" t="s">
        <v>31</v>
      </c>
      <c r="D2091" s="18">
        <v>5</v>
      </c>
      <c r="E2091" s="26" t="str">
        <f t="shared" si="396"/>
        <v>-</v>
      </c>
      <c r="F2091" s="311"/>
      <c r="G2091" s="307" t="str">
        <f t="shared" si="397"/>
        <v>-</v>
      </c>
      <c r="H2091" s="351">
        <f t="shared" si="398"/>
        <v>0</v>
      </c>
      <c r="I2091" s="537" t="str">
        <f t="shared" si="399"/>
        <v>-</v>
      </c>
      <c r="J2091" s="538">
        <f t="shared" si="400"/>
        <v>0</v>
      </c>
      <c r="K2091" s="539" t="s">
        <v>2299</v>
      </c>
      <c r="L2091" s="20"/>
    </row>
    <row r="2092" spans="1:13">
      <c r="A2092" s="14" t="s">
        <v>31</v>
      </c>
      <c r="D2092" s="18">
        <v>6</v>
      </c>
      <c r="E2092" s="26" t="str">
        <f t="shared" si="396"/>
        <v>-</v>
      </c>
      <c r="F2092" s="311"/>
      <c r="G2092" s="307" t="str">
        <f t="shared" si="397"/>
        <v>-</v>
      </c>
      <c r="H2092" s="351">
        <f t="shared" si="398"/>
        <v>0</v>
      </c>
      <c r="I2092" s="537" t="str">
        <f t="shared" si="399"/>
        <v>-</v>
      </c>
      <c r="J2092" s="538">
        <f t="shared" si="400"/>
        <v>0</v>
      </c>
      <c r="K2092" s="539" t="s">
        <v>2299</v>
      </c>
      <c r="L2092" s="20"/>
    </row>
    <row r="2093" spans="1:13">
      <c r="A2093" s="14" t="s">
        <v>31</v>
      </c>
      <c r="D2093" s="18">
        <v>7</v>
      </c>
      <c r="E2093" s="26" t="str">
        <f t="shared" si="396"/>
        <v>-</v>
      </c>
      <c r="F2093" s="311"/>
      <c r="G2093" s="307" t="str">
        <f t="shared" si="397"/>
        <v>-</v>
      </c>
      <c r="H2093" s="351">
        <f t="shared" si="398"/>
        <v>0</v>
      </c>
      <c r="I2093" s="537" t="str">
        <f t="shared" si="399"/>
        <v>-</v>
      </c>
      <c r="J2093" s="538">
        <f t="shared" si="400"/>
        <v>0</v>
      </c>
      <c r="K2093" s="539" t="s">
        <v>2299</v>
      </c>
      <c r="L2093" s="20"/>
    </row>
    <row r="2094" spans="1:13">
      <c r="A2094" s="14" t="s">
        <v>31</v>
      </c>
      <c r="D2094" s="18">
        <v>8</v>
      </c>
      <c r="E2094" s="26" t="str">
        <f t="shared" si="396"/>
        <v>-</v>
      </c>
      <c r="F2094" s="311"/>
      <c r="G2094" s="307" t="str">
        <f t="shared" si="397"/>
        <v>-</v>
      </c>
      <c r="H2094" s="351">
        <f t="shared" si="398"/>
        <v>0</v>
      </c>
      <c r="I2094" s="537" t="str">
        <f t="shared" si="399"/>
        <v>-</v>
      </c>
      <c r="J2094" s="538">
        <f t="shared" si="400"/>
        <v>0</v>
      </c>
      <c r="K2094" s="539" t="s">
        <v>2299</v>
      </c>
      <c r="L2094" s="20"/>
    </row>
    <row r="2095" spans="1:13">
      <c r="A2095" s="14" t="s">
        <v>31</v>
      </c>
      <c r="D2095" s="18">
        <v>9</v>
      </c>
      <c r="E2095" s="26" t="str">
        <f t="shared" si="396"/>
        <v>-</v>
      </c>
      <c r="F2095" s="311"/>
      <c r="G2095" s="307" t="str">
        <f t="shared" si="397"/>
        <v>-</v>
      </c>
      <c r="H2095" s="351">
        <f t="shared" si="398"/>
        <v>0</v>
      </c>
      <c r="I2095" s="537" t="str">
        <f t="shared" si="399"/>
        <v>-</v>
      </c>
      <c r="J2095" s="538">
        <f t="shared" si="400"/>
        <v>0</v>
      </c>
      <c r="K2095" s="539" t="s">
        <v>2299</v>
      </c>
      <c r="L2095" s="20"/>
    </row>
    <row r="2096" spans="1:13">
      <c r="A2096" s="14" t="s">
        <v>31</v>
      </c>
      <c r="D2096" s="18">
        <v>10</v>
      </c>
      <c r="E2096" s="26" t="str">
        <f t="shared" si="396"/>
        <v>-</v>
      </c>
      <c r="F2096" s="311"/>
      <c r="G2096" s="307" t="str">
        <f t="shared" si="397"/>
        <v>-</v>
      </c>
      <c r="H2096" s="351">
        <f t="shared" si="398"/>
        <v>0</v>
      </c>
      <c r="I2096" s="537" t="str">
        <f t="shared" si="399"/>
        <v>-</v>
      </c>
      <c r="J2096" s="538">
        <f t="shared" si="400"/>
        <v>0</v>
      </c>
      <c r="K2096" s="539" t="s">
        <v>2299</v>
      </c>
      <c r="L2096" s="20"/>
    </row>
    <row r="2097" spans="1:16">
      <c r="A2097" s="14" t="s">
        <v>31</v>
      </c>
      <c r="D2097" s="18">
        <v>11</v>
      </c>
      <c r="E2097" s="26" t="str">
        <f t="shared" si="396"/>
        <v>-</v>
      </c>
      <c r="F2097" s="311"/>
      <c r="G2097" s="307" t="str">
        <f t="shared" si="397"/>
        <v>-</v>
      </c>
      <c r="H2097" s="351">
        <f t="shared" si="398"/>
        <v>0</v>
      </c>
      <c r="I2097" s="537" t="str">
        <f t="shared" si="399"/>
        <v>-</v>
      </c>
      <c r="J2097" s="538">
        <f t="shared" si="400"/>
        <v>0</v>
      </c>
      <c r="K2097" s="539" t="s">
        <v>2299</v>
      </c>
      <c r="L2097" s="20"/>
    </row>
    <row r="2098" spans="1:16">
      <c r="A2098" s="14" t="s">
        <v>31</v>
      </c>
      <c r="D2098" s="18">
        <v>12</v>
      </c>
      <c r="E2098" s="26" t="str">
        <f t="shared" si="396"/>
        <v>-</v>
      </c>
      <c r="F2098" s="311"/>
      <c r="G2098" s="307" t="str">
        <f t="shared" si="397"/>
        <v>-</v>
      </c>
      <c r="H2098" s="352">
        <f t="shared" si="398"/>
        <v>0</v>
      </c>
      <c r="I2098" s="537" t="str">
        <f t="shared" si="399"/>
        <v>-</v>
      </c>
      <c r="J2098" s="538">
        <f t="shared" si="400"/>
        <v>0</v>
      </c>
      <c r="K2098" s="539" t="s">
        <v>2299</v>
      </c>
      <c r="L2098" s="20"/>
    </row>
    <row r="2099" spans="1:16">
      <c r="A2099" s="14" t="s">
        <v>31</v>
      </c>
      <c r="D2099" s="18">
        <v>13</v>
      </c>
      <c r="E2099" s="26" t="str">
        <f t="shared" si="396"/>
        <v>-</v>
      </c>
      <c r="F2099" s="311"/>
      <c r="G2099" s="307" t="str">
        <f t="shared" si="397"/>
        <v>-</v>
      </c>
      <c r="H2099" s="352">
        <f t="shared" si="398"/>
        <v>0</v>
      </c>
      <c r="I2099" s="537" t="str">
        <f t="shared" si="399"/>
        <v>-</v>
      </c>
      <c r="J2099" s="538">
        <f t="shared" si="400"/>
        <v>0</v>
      </c>
      <c r="K2099" s="539" t="s">
        <v>2299</v>
      </c>
      <c r="L2099" s="20"/>
    </row>
    <row r="2100" spans="1:16">
      <c r="A2100" s="14" t="s">
        <v>31</v>
      </c>
      <c r="D2100" s="18">
        <v>14</v>
      </c>
      <c r="E2100" s="26" t="str">
        <f t="shared" si="396"/>
        <v>-</v>
      </c>
      <c r="F2100" s="311"/>
      <c r="G2100" s="307" t="str">
        <f t="shared" si="397"/>
        <v>-</v>
      </c>
      <c r="H2100" s="352">
        <f t="shared" si="398"/>
        <v>0</v>
      </c>
      <c r="I2100" s="537" t="str">
        <f t="shared" si="399"/>
        <v>-</v>
      </c>
      <c r="J2100" s="538">
        <f t="shared" si="400"/>
        <v>0</v>
      </c>
      <c r="K2100" s="539" t="s">
        <v>2299</v>
      </c>
      <c r="L2100" s="20"/>
    </row>
    <row r="2101" spans="1:16">
      <c r="A2101" s="14" t="s">
        <v>31</v>
      </c>
      <c r="D2101" s="18">
        <v>15</v>
      </c>
      <c r="E2101" s="26" t="str">
        <f t="shared" si="396"/>
        <v>-</v>
      </c>
      <c r="F2101" s="311"/>
      <c r="G2101" s="307" t="str">
        <f t="shared" si="397"/>
        <v>-</v>
      </c>
      <c r="H2101" s="352">
        <f t="shared" si="398"/>
        <v>0</v>
      </c>
      <c r="I2101" s="537" t="str">
        <f t="shared" si="399"/>
        <v>-</v>
      </c>
      <c r="J2101" s="538">
        <f t="shared" si="400"/>
        <v>0</v>
      </c>
      <c r="K2101" s="539" t="s">
        <v>2299</v>
      </c>
      <c r="L2101" s="20"/>
    </row>
    <row r="2102" spans="1:16">
      <c r="A2102" s="14" t="s">
        <v>31</v>
      </c>
      <c r="D2102" s="18">
        <v>16</v>
      </c>
      <c r="E2102" s="26" t="str">
        <f t="shared" si="396"/>
        <v>-</v>
      </c>
      <c r="F2102" s="311"/>
      <c r="G2102" s="307" t="str">
        <f t="shared" si="397"/>
        <v>-</v>
      </c>
      <c r="H2102" s="352">
        <f t="shared" si="398"/>
        <v>0</v>
      </c>
      <c r="I2102" s="537" t="str">
        <f t="shared" si="399"/>
        <v>-</v>
      </c>
      <c r="J2102" s="538">
        <f t="shared" si="400"/>
        <v>0</v>
      </c>
      <c r="K2102" s="539" t="s">
        <v>2299</v>
      </c>
      <c r="L2102" s="20"/>
    </row>
    <row r="2103" spans="1:16">
      <c r="A2103" s="14" t="s">
        <v>31</v>
      </c>
      <c r="D2103" s="18">
        <v>17</v>
      </c>
      <c r="E2103" s="26" t="str">
        <f t="shared" si="396"/>
        <v>-</v>
      </c>
      <c r="F2103" s="311"/>
      <c r="G2103" s="307" t="str">
        <f t="shared" si="397"/>
        <v>-</v>
      </c>
      <c r="H2103" s="352">
        <f t="shared" si="398"/>
        <v>0</v>
      </c>
      <c r="I2103" s="537" t="str">
        <f t="shared" si="399"/>
        <v>-</v>
      </c>
      <c r="J2103" s="538">
        <f t="shared" si="400"/>
        <v>0</v>
      </c>
      <c r="K2103" s="539" t="s">
        <v>2299</v>
      </c>
      <c r="L2103" s="20"/>
    </row>
    <row r="2104" spans="1:16">
      <c r="A2104" s="14" t="s">
        <v>31</v>
      </c>
      <c r="D2104" s="18">
        <v>18</v>
      </c>
      <c r="E2104" s="26" t="str">
        <f t="shared" si="396"/>
        <v>-</v>
      </c>
      <c r="F2104" s="311"/>
      <c r="G2104" s="307" t="str">
        <f t="shared" si="397"/>
        <v>-</v>
      </c>
      <c r="H2104" s="352">
        <f t="shared" si="398"/>
        <v>0</v>
      </c>
      <c r="I2104" s="537" t="str">
        <f t="shared" si="399"/>
        <v>-</v>
      </c>
      <c r="J2104" s="538">
        <f t="shared" si="400"/>
        <v>0</v>
      </c>
      <c r="K2104" s="539" t="s">
        <v>2299</v>
      </c>
      <c r="L2104" s="20"/>
    </row>
    <row r="2105" spans="1:16">
      <c r="A2105" s="14" t="s">
        <v>31</v>
      </c>
      <c r="D2105" s="18">
        <v>19</v>
      </c>
      <c r="E2105" s="26" t="str">
        <f t="shared" si="396"/>
        <v>-</v>
      </c>
      <c r="F2105" s="311"/>
      <c r="G2105" s="307" t="str">
        <f t="shared" si="397"/>
        <v>-</v>
      </c>
      <c r="H2105" s="352">
        <f t="shared" si="398"/>
        <v>0</v>
      </c>
      <c r="I2105" s="537" t="str">
        <f t="shared" si="399"/>
        <v>-</v>
      </c>
      <c r="J2105" s="538">
        <f t="shared" si="400"/>
        <v>0</v>
      </c>
      <c r="K2105" s="539" t="s">
        <v>2299</v>
      </c>
      <c r="L2105" s="20"/>
    </row>
    <row r="2106" spans="1:16">
      <c r="A2106" s="14" t="s">
        <v>31</v>
      </c>
      <c r="D2106" s="18">
        <v>20</v>
      </c>
      <c r="E2106" s="26" t="str">
        <f t="shared" si="396"/>
        <v>-</v>
      </c>
      <c r="F2106" s="311"/>
      <c r="G2106" s="307" t="str">
        <f t="shared" si="397"/>
        <v>-</v>
      </c>
      <c r="H2106" s="352">
        <f t="shared" si="398"/>
        <v>0</v>
      </c>
      <c r="I2106" s="537" t="str">
        <f t="shared" si="399"/>
        <v>-</v>
      </c>
      <c r="J2106" s="541">
        <f t="shared" si="400"/>
        <v>0</v>
      </c>
      <c r="K2106" s="539" t="s">
        <v>2299</v>
      </c>
      <c r="L2106" s="20"/>
    </row>
    <row r="2107" spans="1:16">
      <c r="A2107" s="14">
        <f>A2074+1</f>
        <v>45</v>
      </c>
      <c r="B2107" s="14" t="str">
        <f>"MA" &amp; TEXT(A2107,"##000")</f>
        <v>MA045</v>
      </c>
      <c r="D2107" s="18"/>
      <c r="E2107" s="591" t="s">
        <v>2302</v>
      </c>
      <c r="F2107" s="592"/>
      <c r="G2107" s="592"/>
      <c r="H2107" s="592"/>
      <c r="I2107" s="328"/>
      <c r="J2107" s="353">
        <f>SUM(J2087:J2106)</f>
        <v>52957.8</v>
      </c>
      <c r="K2107" s="365" t="str">
        <f>+F2084</f>
        <v>ud</v>
      </c>
      <c r="L2107" s="20"/>
      <c r="O2107" s="27" t="s">
        <v>1525</v>
      </c>
      <c r="P2107" s="110">
        <v>10</v>
      </c>
    </row>
    <row r="2108" spans="1:16">
      <c r="D2108" s="18"/>
      <c r="E2108" s="593" t="s">
        <v>100</v>
      </c>
      <c r="F2108" s="594"/>
      <c r="G2108" s="594"/>
      <c r="H2108" s="594"/>
      <c r="I2108" s="594"/>
      <c r="J2108" s="595"/>
      <c r="K2108" s="347"/>
      <c r="L2108" s="20"/>
      <c r="O2108" s="27" t="s">
        <v>1524</v>
      </c>
      <c r="P2108" s="110">
        <v>0</v>
      </c>
    </row>
    <row r="2109" spans="1:16">
      <c r="A2109" s="14" t="s">
        <v>84</v>
      </c>
      <c r="D2109" s="18">
        <v>1</v>
      </c>
      <c r="E2109" s="26" t="str">
        <f>VLOOKUP($A2109,MATMO,2,FALSE)</f>
        <v>Oficial</v>
      </c>
      <c r="F2109" s="311">
        <v>0.15</v>
      </c>
      <c r="G2109" s="307" t="str">
        <f>VLOOKUP($A2109,MATMO,3,FALSE)</f>
        <v>hs</v>
      </c>
      <c r="H2109" s="110">
        <f>VLOOKUP($A2109,MATMO,4,FALSE)*$Q$7</f>
        <v>55.38</v>
      </c>
      <c r="I2109" s="354" t="str">
        <f t="shared" ref="I2109:I2113" si="401">+G2109</f>
        <v>hs</v>
      </c>
      <c r="J2109" s="350">
        <f t="shared" ref="J2109:J2113" si="402">+H2109*F2109</f>
        <v>8.3070000000000004</v>
      </c>
      <c r="K2109" s="360" t="s">
        <v>2299</v>
      </c>
      <c r="L2109" s="20"/>
      <c r="M2109" s="14" t="s">
        <v>2006</v>
      </c>
      <c r="O2109" s="27" t="s">
        <v>1526</v>
      </c>
      <c r="P2109" s="110">
        <v>0</v>
      </c>
    </row>
    <row r="2110" spans="1:16">
      <c r="A2110" s="14" t="s">
        <v>85</v>
      </c>
      <c r="D2110" s="18">
        <v>2</v>
      </c>
      <c r="E2110" s="26" t="str">
        <f>VLOOKUP($A2110,MATMO,2,FALSE)</f>
        <v>Ayudante</v>
      </c>
      <c r="F2110" s="311">
        <v>0.05</v>
      </c>
      <c r="G2110" s="307" t="str">
        <f>VLOOKUP($A2110,MATMO,3,FALSE)</f>
        <v>hs</v>
      </c>
      <c r="H2110" s="110">
        <f>VLOOKUP($A2110,MATMO,4,FALSE)*$Q$7</f>
        <v>46.87</v>
      </c>
      <c r="I2110" s="354" t="str">
        <f t="shared" si="401"/>
        <v>hs</v>
      </c>
      <c r="J2110" s="350">
        <f t="shared" si="402"/>
        <v>2.3435000000000001</v>
      </c>
      <c r="K2110" s="360" t="s">
        <v>2299</v>
      </c>
      <c r="L2110" s="20"/>
      <c r="O2110" s="27" t="s">
        <v>1527</v>
      </c>
      <c r="P2110" s="110">
        <v>0</v>
      </c>
    </row>
    <row r="2111" spans="1:16">
      <c r="A2111" s="14" t="s">
        <v>2311</v>
      </c>
      <c r="D2111" s="18">
        <v>3</v>
      </c>
      <c r="E2111" s="26" t="str">
        <f>VLOOKUP($A2111,MATMO,2,FALSE)</f>
        <v>Cargas Sociales Oficial</v>
      </c>
      <c r="F2111" s="311">
        <f>+F2109</f>
        <v>0.15</v>
      </c>
      <c r="G2111" s="307" t="str">
        <f>VLOOKUP($A2111,MATMO,3,FALSE)</f>
        <v>hs</v>
      </c>
      <c r="H2111" s="110">
        <f>VLOOKUP($A2111,MATMO,4,FALSE)*$Q$7</f>
        <v>52.742782499999997</v>
      </c>
      <c r="I2111" s="354" t="str">
        <f t="shared" si="401"/>
        <v>hs</v>
      </c>
      <c r="J2111" s="350">
        <f t="shared" si="402"/>
        <v>7.9114173749999992</v>
      </c>
      <c r="K2111" s="360" t="s">
        <v>2299</v>
      </c>
      <c r="L2111" s="20"/>
      <c r="O2111" s="27"/>
      <c r="P2111" s="110">
        <v>0</v>
      </c>
    </row>
    <row r="2112" spans="1:16">
      <c r="A2112" s="14" t="s">
        <v>2312</v>
      </c>
      <c r="D2112" s="18">
        <v>4</v>
      </c>
      <c r="E2112" s="26" t="str">
        <f>VLOOKUP($A2112,MATMO,2,FALSE)</f>
        <v>Cargas Sociales Ayudante</v>
      </c>
      <c r="F2112" s="311">
        <f>+F2110</f>
        <v>0.05</v>
      </c>
      <c r="G2112" s="307" t="str">
        <f>VLOOKUP($A2112,MATMO,3,FALSE)</f>
        <v>hs</v>
      </c>
      <c r="H2112" s="110">
        <f>VLOOKUP($A2112,MATMO,4,FALSE)*$Q$7</f>
        <v>45.108248750000001</v>
      </c>
      <c r="I2112" s="354" t="str">
        <f t="shared" si="401"/>
        <v>hs</v>
      </c>
      <c r="J2112" s="350">
        <f t="shared" si="402"/>
        <v>2.2554124375</v>
      </c>
      <c r="K2112" s="360" t="s">
        <v>2299</v>
      </c>
      <c r="L2112" s="20"/>
      <c r="O2112" s="27"/>
      <c r="P2112" s="110">
        <v>0</v>
      </c>
    </row>
    <row r="2113" spans="1:19" ht="16.5" thickBot="1">
      <c r="A2113" s="14" t="s">
        <v>83</v>
      </c>
      <c r="D2113" s="18">
        <v>5</v>
      </c>
      <c r="E2113" s="26" t="str">
        <f>VLOOKUP($A2113,MATMO,2,FALSE)</f>
        <v>-</v>
      </c>
      <c r="F2113" s="311"/>
      <c r="G2113" s="307" t="str">
        <f>VLOOKUP($A2113,MATMO,3,FALSE)</f>
        <v>-</v>
      </c>
      <c r="H2113" s="110">
        <f>VLOOKUP($A2113,MATMO,4,FALSE)*$Q$7</f>
        <v>0</v>
      </c>
      <c r="I2113" s="537" t="str">
        <f t="shared" si="401"/>
        <v>-</v>
      </c>
      <c r="J2113" s="538">
        <f t="shared" si="402"/>
        <v>0</v>
      </c>
      <c r="K2113" s="539" t="s">
        <v>2299</v>
      </c>
      <c r="L2113" s="20"/>
      <c r="O2113" s="27"/>
      <c r="P2113" s="110">
        <v>0</v>
      </c>
      <c r="R2113" s="29" t="s">
        <v>2307</v>
      </c>
    </row>
    <row r="2114" spans="1:19" ht="16.5" thickBot="1">
      <c r="A2114" s="14">
        <f>A2074+1</f>
        <v>45</v>
      </c>
      <c r="B2114" s="14" t="str">
        <f>"MO" &amp; TEXT(A2114,"##000")</f>
        <v>MO045</v>
      </c>
      <c r="D2114" s="18"/>
      <c r="E2114" s="591" t="s">
        <v>2301</v>
      </c>
      <c r="F2114" s="592"/>
      <c r="G2114" s="592"/>
      <c r="H2114" s="592"/>
      <c r="I2114" s="328"/>
      <c r="J2114" s="362">
        <f>SUM(J2109:J2113)</f>
        <v>20.817329812499999</v>
      </c>
      <c r="K2114" s="365" t="str">
        <f>+G2109</f>
        <v>hs</v>
      </c>
      <c r="L2114" s="20"/>
      <c r="N2114" s="111">
        <f>+P2114+R2114</f>
        <v>19</v>
      </c>
      <c r="O2114" s="27"/>
      <c r="P2114" s="27">
        <f>SUM(P2107:P2113)</f>
        <v>10</v>
      </c>
      <c r="Q2114" s="26">
        <v>0.9</v>
      </c>
      <c r="R2114" s="287">
        <f>+Q2114*P2114</f>
        <v>9</v>
      </c>
      <c r="S2114" s="288"/>
    </row>
    <row r="2115" spans="1:19">
      <c r="D2115" s="18"/>
      <c r="E2115" s="593" t="s">
        <v>101</v>
      </c>
      <c r="F2115" s="594"/>
      <c r="G2115" s="594"/>
      <c r="H2115" s="594"/>
      <c r="I2115" s="594"/>
      <c r="J2115" s="595"/>
      <c r="K2115" s="347"/>
      <c r="L2115" s="20"/>
      <c r="P2115" s="14" t="s">
        <v>2308</v>
      </c>
    </row>
    <row r="2116" spans="1:19">
      <c r="A2116" s="14" t="s">
        <v>119</v>
      </c>
      <c r="D2116" s="18">
        <v>1</v>
      </c>
      <c r="E2116" s="26" t="str">
        <f>VLOOKUP($A2116,MATMO,2,FALSE)</f>
        <v>Herramientas de Mano</v>
      </c>
      <c r="F2116" s="311">
        <v>1</v>
      </c>
      <c r="G2116" s="307" t="str">
        <f>VLOOKUP($A2116,MATMO,3,FALSE)</f>
        <v>gl</v>
      </c>
      <c r="H2116" s="110">
        <f>+(J2107+J2114)*$Q$5</f>
        <v>2119.1446931925002</v>
      </c>
      <c r="I2116" s="345" t="str">
        <f>+G2116</f>
        <v>gl</v>
      </c>
      <c r="J2116" s="350">
        <f t="shared" ref="J2116:J2120" si="403">+H2116*F2116</f>
        <v>2119.1446931925002</v>
      </c>
      <c r="K2116" s="360" t="s">
        <v>2299</v>
      </c>
      <c r="L2116" s="20"/>
      <c r="M2116" s="14" t="s">
        <v>2004</v>
      </c>
    </row>
    <row r="2117" spans="1:19">
      <c r="A2117" s="14" t="s">
        <v>118</v>
      </c>
      <c r="D2117" s="18">
        <v>2</v>
      </c>
      <c r="E2117" s="26" t="str">
        <f>VLOOKUP($A2117,MATMO,2,FALSE)</f>
        <v>-</v>
      </c>
      <c r="F2117" s="311"/>
      <c r="G2117" s="307" t="str">
        <f>VLOOKUP($A2117,MATMO,3,FALSE)</f>
        <v>-</v>
      </c>
      <c r="H2117" s="110">
        <f>VLOOKUP($A2117,MATMO,4,FALSE)*$Q$6</f>
        <v>0</v>
      </c>
      <c r="I2117" s="543" t="str">
        <f t="shared" ref="I2117:I2120" si="404">+G2117</f>
        <v>-</v>
      </c>
      <c r="J2117" s="538">
        <f t="shared" si="403"/>
        <v>0</v>
      </c>
      <c r="K2117" s="539" t="s">
        <v>2299</v>
      </c>
      <c r="L2117" s="20"/>
    </row>
    <row r="2118" spans="1:19">
      <c r="A2118" s="14" t="s">
        <v>118</v>
      </c>
      <c r="D2118" s="18">
        <v>3</v>
      </c>
      <c r="E2118" s="26" t="str">
        <f>VLOOKUP($A2118,MATMO,2,FALSE)</f>
        <v>-</v>
      </c>
      <c r="F2118" s="311"/>
      <c r="G2118" s="307" t="str">
        <f>VLOOKUP($A2118,MATMO,3,FALSE)</f>
        <v>-</v>
      </c>
      <c r="H2118" s="110">
        <f>VLOOKUP($A2118,MATMO,4,FALSE)*$Q$6</f>
        <v>0</v>
      </c>
      <c r="I2118" s="543" t="str">
        <f t="shared" si="404"/>
        <v>-</v>
      </c>
      <c r="J2118" s="538">
        <f t="shared" si="403"/>
        <v>0</v>
      </c>
      <c r="K2118" s="539" t="s">
        <v>2299</v>
      </c>
      <c r="L2118" s="20"/>
    </row>
    <row r="2119" spans="1:19">
      <c r="A2119" s="14" t="s">
        <v>118</v>
      </c>
      <c r="D2119" s="18">
        <v>4</v>
      </c>
      <c r="E2119" s="26" t="str">
        <f>VLOOKUP($A2119,MATMO,2,FALSE)</f>
        <v>-</v>
      </c>
      <c r="F2119" s="311"/>
      <c r="G2119" s="307" t="str">
        <f>VLOOKUP($A2119,MATMO,3,FALSE)</f>
        <v>-</v>
      </c>
      <c r="H2119" s="110">
        <f>VLOOKUP($A2119,MATMO,4,FALSE)*$Q$6</f>
        <v>0</v>
      </c>
      <c r="I2119" s="543" t="str">
        <f t="shared" si="404"/>
        <v>-</v>
      </c>
      <c r="J2119" s="538">
        <f t="shared" si="403"/>
        <v>0</v>
      </c>
      <c r="K2119" s="539" t="s">
        <v>2299</v>
      </c>
      <c r="L2119" s="20"/>
    </row>
    <row r="2120" spans="1:19">
      <c r="A2120" s="14" t="s">
        <v>118</v>
      </c>
      <c r="D2120" s="18">
        <v>5</v>
      </c>
      <c r="E2120" s="26" t="str">
        <f>VLOOKUP($A2120,MATMO,2,FALSE)</f>
        <v>-</v>
      </c>
      <c r="F2120" s="311"/>
      <c r="G2120" s="307" t="str">
        <f>VLOOKUP($A2120,MATMO,3,FALSE)</f>
        <v>-</v>
      </c>
      <c r="H2120" s="110">
        <f>VLOOKUP($A2120,MATMO,4,FALSE)*$Q$6</f>
        <v>0</v>
      </c>
      <c r="I2120" s="543" t="str">
        <f t="shared" si="404"/>
        <v>-</v>
      </c>
      <c r="J2120" s="538">
        <f t="shared" si="403"/>
        <v>0</v>
      </c>
      <c r="K2120" s="539" t="s">
        <v>2299</v>
      </c>
      <c r="L2120" s="20"/>
    </row>
    <row r="2121" spans="1:19">
      <c r="A2121" s="14">
        <f>A2074+1</f>
        <v>45</v>
      </c>
      <c r="B2121" s="14" t="str">
        <f>"E" &amp; TEXT(A2121,"##000")</f>
        <v>E045</v>
      </c>
      <c r="D2121" s="18"/>
      <c r="E2121" s="591" t="s">
        <v>2300</v>
      </c>
      <c r="F2121" s="592"/>
      <c r="G2121" s="592"/>
      <c r="H2121" s="592"/>
      <c r="I2121" s="328"/>
      <c r="J2121" s="362">
        <f>SUM(J2116:J2120)</f>
        <v>2119.1446931925002</v>
      </c>
      <c r="K2121" s="365" t="s">
        <v>116</v>
      </c>
      <c r="L2121" s="20"/>
    </row>
    <row r="2122" spans="1:19">
      <c r="D2122" s="18"/>
      <c r="E2122" s="596"/>
      <c r="F2122" s="597"/>
      <c r="G2122" s="597"/>
      <c r="H2122" s="597"/>
      <c r="I2122" s="597"/>
      <c r="J2122" s="598"/>
      <c r="K2122" s="348"/>
      <c r="L2122" s="20"/>
    </row>
    <row r="2123" spans="1:19">
      <c r="D2123" s="18"/>
      <c r="E2123" s="591" t="s">
        <v>2306</v>
      </c>
      <c r="F2123" s="592"/>
      <c r="G2123" s="592"/>
      <c r="H2123" s="592"/>
      <c r="I2123" s="328"/>
      <c r="J2123" s="308">
        <f>+J2121+J2114+J2107</f>
        <v>55097.762023005002</v>
      </c>
      <c r="K2123" s="365" t="str">
        <f>+F2084</f>
        <v>ud</v>
      </c>
      <c r="L2123" s="20"/>
    </row>
    <row r="2124" spans="1:19">
      <c r="D2124" s="18"/>
      <c r="E2124" s="591" t="s">
        <v>2305</v>
      </c>
      <c r="F2124" s="592"/>
      <c r="G2124" s="592"/>
      <c r="H2124" s="592"/>
      <c r="I2124" s="406">
        <f>+$Q$9</f>
        <v>1.6902999999999999</v>
      </c>
      <c r="J2124" s="308">
        <f>+$Q$9*J2123</f>
        <v>93131.747147485352</v>
      </c>
      <c r="K2124" s="365" t="str">
        <f>+F2084</f>
        <v>ud</v>
      </c>
      <c r="L2124" s="20"/>
    </row>
    <row r="2125" spans="1:19">
      <c r="A2125" s="14">
        <f>A2078+1</f>
        <v>45</v>
      </c>
      <c r="B2125" s="14" t="str">
        <f>"TR" &amp; TEXT(A2125,"##000")</f>
        <v>TR045</v>
      </c>
      <c r="C2125" s="14">
        <f>+C2078+1</f>
        <v>45</v>
      </c>
      <c r="D2125" s="18"/>
      <c r="E2125" s="591" t="s">
        <v>2304</v>
      </c>
      <c r="F2125" s="592"/>
      <c r="G2125" s="592"/>
      <c r="H2125" s="592"/>
      <c r="I2125" s="328"/>
      <c r="J2125" s="308">
        <f>+J2124</f>
        <v>93131.747147485352</v>
      </c>
      <c r="K2125" s="365" t="str">
        <f>+F2084</f>
        <v>ud</v>
      </c>
      <c r="L2125" s="20"/>
    </row>
    <row r="2126" spans="1:19" ht="16.5" thickBot="1">
      <c r="D2126" s="21"/>
      <c r="E2126" s="30"/>
      <c r="F2126" s="30"/>
      <c r="G2126" s="30"/>
      <c r="H2126" s="30"/>
      <c r="I2126" s="30"/>
      <c r="J2126" s="30"/>
      <c r="K2126" s="349"/>
      <c r="L2126" s="22"/>
    </row>
    <row r="2127" spans="1:19" ht="16.5" thickTop="1">
      <c r="D2127" s="15"/>
      <c r="E2127" s="16"/>
      <c r="F2127" s="16"/>
      <c r="G2127" s="16"/>
      <c r="H2127" s="16"/>
      <c r="I2127" s="16"/>
      <c r="J2127" s="16"/>
      <c r="K2127" s="16"/>
      <c r="L2127" s="17"/>
    </row>
    <row r="2128" spans="1:19">
      <c r="A2128" s="14" t="s">
        <v>1860</v>
      </c>
      <c r="D2128" s="18"/>
      <c r="E2128" s="23" t="s">
        <v>95</v>
      </c>
      <c r="F2128" s="364" t="str">
        <f>VLOOKUP($A2128,DATRUB,3,FALSE)</f>
        <v>RUBRO XI:</v>
      </c>
      <c r="G2128" s="599" t="str">
        <f>VLOOKUP($A2128,DATRUB,4,FALSE)</f>
        <v>CARPINTERÍA METÁLICA y HERRERÍA</v>
      </c>
      <c r="H2128" s="599"/>
      <c r="I2128" s="599"/>
      <c r="J2128" s="599"/>
      <c r="K2128" s="599"/>
      <c r="L2128" s="20"/>
    </row>
    <row r="2129" spans="1:13" ht="35.1" customHeight="1">
      <c r="A2129" s="14" t="s">
        <v>1867</v>
      </c>
      <c r="D2129" s="18"/>
      <c r="E2129" s="23" t="s">
        <v>96</v>
      </c>
      <c r="F2129" s="399">
        <f>VLOOKUP($A2129,DATRUB,3,FALSE)</f>
        <v>11.8</v>
      </c>
      <c r="G2129" s="599" t="str">
        <f>VLOOKUP($A2129,DATRUB,4,FALSE)</f>
        <v>PV4: 3,60 x 2,55</v>
      </c>
      <c r="H2129" s="599"/>
      <c r="I2129" s="599"/>
      <c r="J2129" s="599"/>
      <c r="K2129" s="599"/>
      <c r="L2129" s="20"/>
    </row>
    <row r="2130" spans="1:13" ht="35.1" customHeight="1">
      <c r="A2130" s="14" t="s">
        <v>1867</v>
      </c>
      <c r="D2130" s="18"/>
      <c r="E2130" s="23" t="s">
        <v>97</v>
      </c>
      <c r="F2130" s="399">
        <f>VLOOKUP($A2130,DATRUB,3,FALSE)</f>
        <v>11.8</v>
      </c>
      <c r="G2130" s="599" t="str">
        <f>VLOOKUP($A2130,DATRUB,4,FALSE)</f>
        <v>PV4: 3,60 x 2,55</v>
      </c>
      <c r="H2130" s="599"/>
      <c r="I2130" s="599"/>
      <c r="J2130" s="599"/>
      <c r="K2130" s="599"/>
      <c r="L2130" s="20"/>
    </row>
    <row r="2131" spans="1:13">
      <c r="D2131" s="18"/>
      <c r="E2131" s="23" t="s">
        <v>98</v>
      </c>
      <c r="F2131" s="364" t="str">
        <f>VLOOKUP($A2130,DATRUB,5,FALSE)</f>
        <v>ud</v>
      </c>
      <c r="G2131" s="600"/>
      <c r="H2131" s="600"/>
      <c r="I2131" s="600"/>
      <c r="J2131" s="600"/>
      <c r="K2131" s="600"/>
      <c r="L2131" s="20"/>
    </row>
    <row r="2132" spans="1:13">
      <c r="D2132" s="18"/>
      <c r="E2132" s="364" t="s">
        <v>1158</v>
      </c>
      <c r="F2132" s="363" t="s">
        <v>1250</v>
      </c>
      <c r="G2132" s="364" t="s">
        <v>24</v>
      </c>
      <c r="H2132" s="364" t="s">
        <v>25</v>
      </c>
      <c r="I2132" s="364" t="s">
        <v>24</v>
      </c>
      <c r="J2132" s="364" t="s">
        <v>2298</v>
      </c>
      <c r="K2132" s="364" t="s">
        <v>24</v>
      </c>
      <c r="L2132" s="20"/>
    </row>
    <row r="2133" spans="1:13">
      <c r="D2133" s="18"/>
      <c r="E2133" s="593" t="s">
        <v>99</v>
      </c>
      <c r="F2133" s="594"/>
      <c r="G2133" s="594"/>
      <c r="H2133" s="594"/>
      <c r="I2133" s="594"/>
      <c r="J2133" s="594"/>
      <c r="K2133" s="595"/>
      <c r="L2133" s="20"/>
    </row>
    <row r="2134" spans="1:13">
      <c r="A2134" s="14" t="s">
        <v>2394</v>
      </c>
      <c r="D2134" s="18">
        <v>1</v>
      </c>
      <c r="E2134" s="355" t="str">
        <f t="shared" ref="E2134:E2153" si="405">VLOOKUP($A2134,MATMO,2,FALSE)</f>
        <v>PV4: 3,60 x 2,55</v>
      </c>
      <c r="F2134" s="356">
        <v>1</v>
      </c>
      <c r="G2134" s="357" t="str">
        <f t="shared" ref="G2134:G2153" si="406">VLOOKUP($A2134,MATMO,3,FALSE)</f>
        <v>un</v>
      </c>
      <c r="H2134" s="358">
        <f t="shared" ref="H2134:H2153" si="407">VLOOKUP($A2134,MATMO,4,FALSE)*$Q$6</f>
        <v>29421</v>
      </c>
      <c r="I2134" s="359" t="str">
        <f t="shared" ref="I2134:I2153" si="408">+G2134</f>
        <v>un</v>
      </c>
      <c r="J2134" s="361">
        <f>+H2134*F2134</f>
        <v>29421</v>
      </c>
      <c r="K2134" s="360" t="s">
        <v>2299</v>
      </c>
      <c r="L2134" s="20"/>
      <c r="M2134" s="14" t="s">
        <v>2005</v>
      </c>
    </row>
    <row r="2135" spans="1:13">
      <c r="A2135" s="14" t="s">
        <v>31</v>
      </c>
      <c r="D2135" s="18">
        <v>2</v>
      </c>
      <c r="E2135" s="26" t="str">
        <f t="shared" si="405"/>
        <v>-</v>
      </c>
      <c r="F2135" s="311"/>
      <c r="G2135" s="307" t="str">
        <f t="shared" si="406"/>
        <v>-</v>
      </c>
      <c r="H2135" s="351">
        <f t="shared" si="407"/>
        <v>0</v>
      </c>
      <c r="I2135" s="537" t="str">
        <f t="shared" si="408"/>
        <v>-</v>
      </c>
      <c r="J2135" s="538">
        <f t="shared" ref="J2135:J2153" si="409">+H2135*F2135</f>
        <v>0</v>
      </c>
      <c r="K2135" s="539" t="s">
        <v>2299</v>
      </c>
      <c r="L2135" s="20"/>
    </row>
    <row r="2136" spans="1:13">
      <c r="A2136" s="14" t="s">
        <v>31</v>
      </c>
      <c r="D2136" s="18">
        <v>3</v>
      </c>
      <c r="E2136" s="26" t="str">
        <f t="shared" si="405"/>
        <v>-</v>
      </c>
      <c r="F2136" s="311"/>
      <c r="G2136" s="307" t="str">
        <f t="shared" si="406"/>
        <v>-</v>
      </c>
      <c r="H2136" s="351">
        <f t="shared" si="407"/>
        <v>0</v>
      </c>
      <c r="I2136" s="537" t="str">
        <f t="shared" si="408"/>
        <v>-</v>
      </c>
      <c r="J2136" s="538">
        <f t="shared" si="409"/>
        <v>0</v>
      </c>
      <c r="K2136" s="539" t="s">
        <v>2299</v>
      </c>
      <c r="L2136" s="20"/>
    </row>
    <row r="2137" spans="1:13">
      <c r="A2137" s="14" t="s">
        <v>31</v>
      </c>
      <c r="D2137" s="18">
        <v>4</v>
      </c>
      <c r="E2137" s="26" t="str">
        <f t="shared" si="405"/>
        <v>-</v>
      </c>
      <c r="F2137" s="311"/>
      <c r="G2137" s="307" t="str">
        <f t="shared" si="406"/>
        <v>-</v>
      </c>
      <c r="H2137" s="351">
        <f t="shared" si="407"/>
        <v>0</v>
      </c>
      <c r="I2137" s="537" t="str">
        <f t="shared" si="408"/>
        <v>-</v>
      </c>
      <c r="J2137" s="538">
        <f t="shared" si="409"/>
        <v>0</v>
      </c>
      <c r="K2137" s="539" t="s">
        <v>2299</v>
      </c>
      <c r="L2137" s="20"/>
    </row>
    <row r="2138" spans="1:13">
      <c r="A2138" s="14" t="s">
        <v>31</v>
      </c>
      <c r="D2138" s="18">
        <v>5</v>
      </c>
      <c r="E2138" s="26" t="str">
        <f t="shared" si="405"/>
        <v>-</v>
      </c>
      <c r="F2138" s="311"/>
      <c r="G2138" s="307" t="str">
        <f t="shared" si="406"/>
        <v>-</v>
      </c>
      <c r="H2138" s="351">
        <f t="shared" si="407"/>
        <v>0</v>
      </c>
      <c r="I2138" s="537" t="str">
        <f t="shared" si="408"/>
        <v>-</v>
      </c>
      <c r="J2138" s="538">
        <f t="shared" si="409"/>
        <v>0</v>
      </c>
      <c r="K2138" s="539" t="s">
        <v>2299</v>
      </c>
      <c r="L2138" s="20"/>
    </row>
    <row r="2139" spans="1:13">
      <c r="A2139" s="14" t="s">
        <v>31</v>
      </c>
      <c r="D2139" s="18">
        <v>6</v>
      </c>
      <c r="E2139" s="26" t="str">
        <f t="shared" si="405"/>
        <v>-</v>
      </c>
      <c r="F2139" s="311"/>
      <c r="G2139" s="307" t="str">
        <f t="shared" si="406"/>
        <v>-</v>
      </c>
      <c r="H2139" s="351">
        <f t="shared" si="407"/>
        <v>0</v>
      </c>
      <c r="I2139" s="537" t="str">
        <f t="shared" si="408"/>
        <v>-</v>
      </c>
      <c r="J2139" s="538">
        <f t="shared" si="409"/>
        <v>0</v>
      </c>
      <c r="K2139" s="539" t="s">
        <v>2299</v>
      </c>
      <c r="L2139" s="20"/>
    </row>
    <row r="2140" spans="1:13">
      <c r="A2140" s="14" t="s">
        <v>31</v>
      </c>
      <c r="D2140" s="18">
        <v>7</v>
      </c>
      <c r="E2140" s="26" t="str">
        <f t="shared" si="405"/>
        <v>-</v>
      </c>
      <c r="F2140" s="311"/>
      <c r="G2140" s="307" t="str">
        <f t="shared" si="406"/>
        <v>-</v>
      </c>
      <c r="H2140" s="351">
        <f t="shared" si="407"/>
        <v>0</v>
      </c>
      <c r="I2140" s="537" t="str">
        <f t="shared" si="408"/>
        <v>-</v>
      </c>
      <c r="J2140" s="538">
        <f t="shared" si="409"/>
        <v>0</v>
      </c>
      <c r="K2140" s="539" t="s">
        <v>2299</v>
      </c>
      <c r="L2140" s="20"/>
    </row>
    <row r="2141" spans="1:13">
      <c r="A2141" s="14" t="s">
        <v>31</v>
      </c>
      <c r="D2141" s="18">
        <v>8</v>
      </c>
      <c r="E2141" s="26" t="str">
        <f t="shared" si="405"/>
        <v>-</v>
      </c>
      <c r="F2141" s="311"/>
      <c r="G2141" s="307" t="str">
        <f t="shared" si="406"/>
        <v>-</v>
      </c>
      <c r="H2141" s="351">
        <f t="shared" si="407"/>
        <v>0</v>
      </c>
      <c r="I2141" s="537" t="str">
        <f t="shared" si="408"/>
        <v>-</v>
      </c>
      <c r="J2141" s="538">
        <f t="shared" si="409"/>
        <v>0</v>
      </c>
      <c r="K2141" s="539" t="s">
        <v>2299</v>
      </c>
      <c r="L2141" s="20"/>
    </row>
    <row r="2142" spans="1:13">
      <c r="A2142" s="14" t="s">
        <v>31</v>
      </c>
      <c r="D2142" s="18">
        <v>9</v>
      </c>
      <c r="E2142" s="26" t="str">
        <f t="shared" si="405"/>
        <v>-</v>
      </c>
      <c r="F2142" s="311"/>
      <c r="G2142" s="307" t="str">
        <f t="shared" si="406"/>
        <v>-</v>
      </c>
      <c r="H2142" s="351">
        <f t="shared" si="407"/>
        <v>0</v>
      </c>
      <c r="I2142" s="537" t="str">
        <f t="shared" si="408"/>
        <v>-</v>
      </c>
      <c r="J2142" s="538">
        <f t="shared" si="409"/>
        <v>0</v>
      </c>
      <c r="K2142" s="539" t="s">
        <v>2299</v>
      </c>
      <c r="L2142" s="20"/>
    </row>
    <row r="2143" spans="1:13">
      <c r="A2143" s="14" t="s">
        <v>31</v>
      </c>
      <c r="D2143" s="18">
        <v>10</v>
      </c>
      <c r="E2143" s="26" t="str">
        <f t="shared" si="405"/>
        <v>-</v>
      </c>
      <c r="F2143" s="311"/>
      <c r="G2143" s="307" t="str">
        <f t="shared" si="406"/>
        <v>-</v>
      </c>
      <c r="H2143" s="351">
        <f t="shared" si="407"/>
        <v>0</v>
      </c>
      <c r="I2143" s="537" t="str">
        <f t="shared" si="408"/>
        <v>-</v>
      </c>
      <c r="J2143" s="538">
        <f t="shared" si="409"/>
        <v>0</v>
      </c>
      <c r="K2143" s="539" t="s">
        <v>2299</v>
      </c>
      <c r="L2143" s="20"/>
    </row>
    <row r="2144" spans="1:13">
      <c r="A2144" s="14" t="s">
        <v>31</v>
      </c>
      <c r="D2144" s="18">
        <v>11</v>
      </c>
      <c r="E2144" s="26" t="str">
        <f t="shared" si="405"/>
        <v>-</v>
      </c>
      <c r="F2144" s="311"/>
      <c r="G2144" s="307" t="str">
        <f t="shared" si="406"/>
        <v>-</v>
      </c>
      <c r="H2144" s="351">
        <f t="shared" si="407"/>
        <v>0</v>
      </c>
      <c r="I2144" s="537" t="str">
        <f t="shared" si="408"/>
        <v>-</v>
      </c>
      <c r="J2144" s="538">
        <f t="shared" si="409"/>
        <v>0</v>
      </c>
      <c r="K2144" s="539" t="s">
        <v>2299</v>
      </c>
      <c r="L2144" s="20"/>
    </row>
    <row r="2145" spans="1:18">
      <c r="A2145" s="14" t="s">
        <v>31</v>
      </c>
      <c r="D2145" s="18">
        <v>12</v>
      </c>
      <c r="E2145" s="26" t="str">
        <f t="shared" si="405"/>
        <v>-</v>
      </c>
      <c r="F2145" s="311"/>
      <c r="G2145" s="307" t="str">
        <f t="shared" si="406"/>
        <v>-</v>
      </c>
      <c r="H2145" s="352">
        <f t="shared" si="407"/>
        <v>0</v>
      </c>
      <c r="I2145" s="537" t="str">
        <f t="shared" si="408"/>
        <v>-</v>
      </c>
      <c r="J2145" s="538">
        <f t="shared" si="409"/>
        <v>0</v>
      </c>
      <c r="K2145" s="539" t="s">
        <v>2299</v>
      </c>
      <c r="L2145" s="20"/>
    </row>
    <row r="2146" spans="1:18">
      <c r="A2146" s="14" t="s">
        <v>31</v>
      </c>
      <c r="D2146" s="18">
        <v>13</v>
      </c>
      <c r="E2146" s="26" t="str">
        <f t="shared" si="405"/>
        <v>-</v>
      </c>
      <c r="F2146" s="311"/>
      <c r="G2146" s="307" t="str">
        <f t="shared" si="406"/>
        <v>-</v>
      </c>
      <c r="H2146" s="352">
        <f t="shared" si="407"/>
        <v>0</v>
      </c>
      <c r="I2146" s="537" t="str">
        <f t="shared" si="408"/>
        <v>-</v>
      </c>
      <c r="J2146" s="538">
        <f t="shared" si="409"/>
        <v>0</v>
      </c>
      <c r="K2146" s="539" t="s">
        <v>2299</v>
      </c>
      <c r="L2146" s="20"/>
    </row>
    <row r="2147" spans="1:18">
      <c r="A2147" s="14" t="s">
        <v>31</v>
      </c>
      <c r="D2147" s="18">
        <v>14</v>
      </c>
      <c r="E2147" s="26" t="str">
        <f t="shared" si="405"/>
        <v>-</v>
      </c>
      <c r="F2147" s="311"/>
      <c r="G2147" s="307" t="str">
        <f t="shared" si="406"/>
        <v>-</v>
      </c>
      <c r="H2147" s="352">
        <f t="shared" si="407"/>
        <v>0</v>
      </c>
      <c r="I2147" s="537" t="str">
        <f t="shared" si="408"/>
        <v>-</v>
      </c>
      <c r="J2147" s="538">
        <f t="shared" si="409"/>
        <v>0</v>
      </c>
      <c r="K2147" s="539" t="s">
        <v>2299</v>
      </c>
      <c r="L2147" s="20"/>
    </row>
    <row r="2148" spans="1:18">
      <c r="A2148" s="14" t="s">
        <v>31</v>
      </c>
      <c r="D2148" s="18">
        <v>15</v>
      </c>
      <c r="E2148" s="26" t="str">
        <f t="shared" si="405"/>
        <v>-</v>
      </c>
      <c r="F2148" s="311"/>
      <c r="G2148" s="307" t="str">
        <f t="shared" si="406"/>
        <v>-</v>
      </c>
      <c r="H2148" s="352">
        <f t="shared" si="407"/>
        <v>0</v>
      </c>
      <c r="I2148" s="537" t="str">
        <f t="shared" si="408"/>
        <v>-</v>
      </c>
      <c r="J2148" s="538">
        <f t="shared" si="409"/>
        <v>0</v>
      </c>
      <c r="K2148" s="539" t="s">
        <v>2299</v>
      </c>
      <c r="L2148" s="20"/>
    </row>
    <row r="2149" spans="1:18">
      <c r="A2149" s="14" t="s">
        <v>31</v>
      </c>
      <c r="D2149" s="18">
        <v>16</v>
      </c>
      <c r="E2149" s="26" t="str">
        <f t="shared" si="405"/>
        <v>-</v>
      </c>
      <c r="F2149" s="311"/>
      <c r="G2149" s="307" t="str">
        <f t="shared" si="406"/>
        <v>-</v>
      </c>
      <c r="H2149" s="352">
        <f t="shared" si="407"/>
        <v>0</v>
      </c>
      <c r="I2149" s="537" t="str">
        <f t="shared" si="408"/>
        <v>-</v>
      </c>
      <c r="J2149" s="538">
        <f t="shared" si="409"/>
        <v>0</v>
      </c>
      <c r="K2149" s="539" t="s">
        <v>2299</v>
      </c>
      <c r="L2149" s="20"/>
    </row>
    <row r="2150" spans="1:18">
      <c r="A2150" s="14" t="s">
        <v>31</v>
      </c>
      <c r="D2150" s="18">
        <v>17</v>
      </c>
      <c r="E2150" s="26" t="str">
        <f t="shared" si="405"/>
        <v>-</v>
      </c>
      <c r="F2150" s="311"/>
      <c r="G2150" s="307" t="str">
        <f t="shared" si="406"/>
        <v>-</v>
      </c>
      <c r="H2150" s="352">
        <f t="shared" si="407"/>
        <v>0</v>
      </c>
      <c r="I2150" s="537" t="str">
        <f t="shared" si="408"/>
        <v>-</v>
      </c>
      <c r="J2150" s="538">
        <f t="shared" si="409"/>
        <v>0</v>
      </c>
      <c r="K2150" s="539" t="s">
        <v>2299</v>
      </c>
      <c r="L2150" s="20"/>
    </row>
    <row r="2151" spans="1:18">
      <c r="A2151" s="14" t="s">
        <v>31</v>
      </c>
      <c r="D2151" s="18">
        <v>18</v>
      </c>
      <c r="E2151" s="26" t="str">
        <f t="shared" si="405"/>
        <v>-</v>
      </c>
      <c r="F2151" s="311"/>
      <c r="G2151" s="307" t="str">
        <f t="shared" si="406"/>
        <v>-</v>
      </c>
      <c r="H2151" s="352">
        <f t="shared" si="407"/>
        <v>0</v>
      </c>
      <c r="I2151" s="537" t="str">
        <f t="shared" si="408"/>
        <v>-</v>
      </c>
      <c r="J2151" s="538">
        <f t="shared" si="409"/>
        <v>0</v>
      </c>
      <c r="K2151" s="539" t="s">
        <v>2299</v>
      </c>
      <c r="L2151" s="20"/>
    </row>
    <row r="2152" spans="1:18">
      <c r="A2152" s="14" t="s">
        <v>31</v>
      </c>
      <c r="D2152" s="18">
        <v>19</v>
      </c>
      <c r="E2152" s="26" t="str">
        <f t="shared" si="405"/>
        <v>-</v>
      </c>
      <c r="F2152" s="311"/>
      <c r="G2152" s="307" t="str">
        <f t="shared" si="406"/>
        <v>-</v>
      </c>
      <c r="H2152" s="352">
        <f t="shared" si="407"/>
        <v>0</v>
      </c>
      <c r="I2152" s="537" t="str">
        <f t="shared" si="408"/>
        <v>-</v>
      </c>
      <c r="J2152" s="538">
        <f t="shared" si="409"/>
        <v>0</v>
      </c>
      <c r="K2152" s="539" t="s">
        <v>2299</v>
      </c>
      <c r="L2152" s="20"/>
    </row>
    <row r="2153" spans="1:18">
      <c r="A2153" s="14" t="s">
        <v>31</v>
      </c>
      <c r="D2153" s="18">
        <v>20</v>
      </c>
      <c r="E2153" s="26" t="str">
        <f t="shared" si="405"/>
        <v>-</v>
      </c>
      <c r="F2153" s="311"/>
      <c r="G2153" s="307" t="str">
        <f t="shared" si="406"/>
        <v>-</v>
      </c>
      <c r="H2153" s="352">
        <f t="shared" si="407"/>
        <v>0</v>
      </c>
      <c r="I2153" s="537" t="str">
        <f t="shared" si="408"/>
        <v>-</v>
      </c>
      <c r="J2153" s="541">
        <f t="shared" si="409"/>
        <v>0</v>
      </c>
      <c r="K2153" s="539" t="s">
        <v>2299</v>
      </c>
      <c r="L2153" s="20"/>
    </row>
    <row r="2154" spans="1:18">
      <c r="A2154" s="14">
        <f>A2121+1</f>
        <v>46</v>
      </c>
      <c r="B2154" s="14" t="str">
        <f>"MA" &amp; TEXT(A2154,"##000")</f>
        <v>MA046</v>
      </c>
      <c r="D2154" s="18"/>
      <c r="E2154" s="591" t="s">
        <v>2302</v>
      </c>
      <c r="F2154" s="592"/>
      <c r="G2154" s="592"/>
      <c r="H2154" s="592"/>
      <c r="I2154" s="328"/>
      <c r="J2154" s="353">
        <f>SUM(J2134:J2153)</f>
        <v>29421</v>
      </c>
      <c r="K2154" s="365" t="str">
        <f>+F2131</f>
        <v>ud</v>
      </c>
      <c r="L2154" s="20"/>
      <c r="O2154" s="27" t="s">
        <v>1525</v>
      </c>
      <c r="P2154" s="110">
        <v>0</v>
      </c>
    </row>
    <row r="2155" spans="1:18">
      <c r="D2155" s="18"/>
      <c r="E2155" s="593" t="s">
        <v>100</v>
      </c>
      <c r="F2155" s="594"/>
      <c r="G2155" s="594"/>
      <c r="H2155" s="594"/>
      <c r="I2155" s="594"/>
      <c r="J2155" s="595"/>
      <c r="K2155" s="347"/>
      <c r="L2155" s="20"/>
      <c r="O2155" s="27" t="s">
        <v>1524</v>
      </c>
      <c r="P2155" s="110">
        <v>0</v>
      </c>
    </row>
    <row r="2156" spans="1:18">
      <c r="A2156" s="14" t="s">
        <v>84</v>
      </c>
      <c r="D2156" s="18">
        <v>1</v>
      </c>
      <c r="E2156" s="26" t="str">
        <f>VLOOKUP($A2156,MATMO,2,FALSE)</f>
        <v>Oficial</v>
      </c>
      <c r="F2156" s="311">
        <v>0.15</v>
      </c>
      <c r="G2156" s="307" t="str">
        <f>VLOOKUP($A2156,MATMO,3,FALSE)</f>
        <v>hs</v>
      </c>
      <c r="H2156" s="110">
        <f>VLOOKUP($A2156,MATMO,4,FALSE)*$Q$7</f>
        <v>55.38</v>
      </c>
      <c r="I2156" s="354" t="str">
        <f t="shared" ref="I2156:I2160" si="410">+G2156</f>
        <v>hs</v>
      </c>
      <c r="J2156" s="350">
        <f t="shared" ref="J2156:J2160" si="411">+H2156*F2156</f>
        <v>8.3070000000000004</v>
      </c>
      <c r="K2156" s="360" t="s">
        <v>2299</v>
      </c>
      <c r="L2156" s="20"/>
      <c r="M2156" s="14" t="s">
        <v>2006</v>
      </c>
      <c r="O2156" s="27" t="s">
        <v>1526</v>
      </c>
      <c r="P2156" s="110">
        <v>0</v>
      </c>
    </row>
    <row r="2157" spans="1:18">
      <c r="A2157" s="14" t="s">
        <v>85</v>
      </c>
      <c r="D2157" s="18">
        <v>2</v>
      </c>
      <c r="E2157" s="26" t="str">
        <f>VLOOKUP($A2157,MATMO,2,FALSE)</f>
        <v>Ayudante</v>
      </c>
      <c r="F2157" s="311">
        <v>0.05</v>
      </c>
      <c r="G2157" s="307" t="str">
        <f>VLOOKUP($A2157,MATMO,3,FALSE)</f>
        <v>hs</v>
      </c>
      <c r="H2157" s="110">
        <f>VLOOKUP($A2157,MATMO,4,FALSE)*$Q$7</f>
        <v>46.87</v>
      </c>
      <c r="I2157" s="354" t="str">
        <f t="shared" si="410"/>
        <v>hs</v>
      </c>
      <c r="J2157" s="350">
        <f t="shared" si="411"/>
        <v>2.3435000000000001</v>
      </c>
      <c r="K2157" s="360" t="s">
        <v>2299</v>
      </c>
      <c r="L2157" s="20"/>
      <c r="O2157" s="27" t="s">
        <v>1527</v>
      </c>
      <c r="P2157" s="110">
        <v>0</v>
      </c>
    </row>
    <row r="2158" spans="1:18">
      <c r="A2158" s="14" t="s">
        <v>2311</v>
      </c>
      <c r="D2158" s="18">
        <v>3</v>
      </c>
      <c r="E2158" s="26" t="str">
        <f>VLOOKUP($A2158,MATMO,2,FALSE)</f>
        <v>Cargas Sociales Oficial</v>
      </c>
      <c r="F2158" s="311">
        <f>+F2156</f>
        <v>0.15</v>
      </c>
      <c r="G2158" s="307" t="str">
        <f>VLOOKUP($A2158,MATMO,3,FALSE)</f>
        <v>hs</v>
      </c>
      <c r="H2158" s="110">
        <f>VLOOKUP($A2158,MATMO,4,FALSE)*$Q$7</f>
        <v>52.742782499999997</v>
      </c>
      <c r="I2158" s="354" t="str">
        <f t="shared" si="410"/>
        <v>hs</v>
      </c>
      <c r="J2158" s="350">
        <f t="shared" si="411"/>
        <v>7.9114173749999992</v>
      </c>
      <c r="K2158" s="360" t="s">
        <v>2299</v>
      </c>
      <c r="L2158" s="20"/>
      <c r="O2158" s="27"/>
      <c r="P2158" s="110">
        <v>0</v>
      </c>
    </row>
    <row r="2159" spans="1:18">
      <c r="A2159" s="14" t="s">
        <v>2312</v>
      </c>
      <c r="D2159" s="18">
        <v>4</v>
      </c>
      <c r="E2159" s="26" t="str">
        <f>VLOOKUP($A2159,MATMO,2,FALSE)</f>
        <v>Cargas Sociales Ayudante</v>
      </c>
      <c r="F2159" s="311">
        <f>+F2157</f>
        <v>0.05</v>
      </c>
      <c r="G2159" s="307" t="str">
        <f>VLOOKUP($A2159,MATMO,3,FALSE)</f>
        <v>hs</v>
      </c>
      <c r="H2159" s="110">
        <f>VLOOKUP($A2159,MATMO,4,FALSE)*$Q$7</f>
        <v>45.108248750000001</v>
      </c>
      <c r="I2159" s="354" t="str">
        <f t="shared" si="410"/>
        <v>hs</v>
      </c>
      <c r="J2159" s="350">
        <f t="shared" si="411"/>
        <v>2.2554124375</v>
      </c>
      <c r="K2159" s="360" t="s">
        <v>2299</v>
      </c>
      <c r="L2159" s="20"/>
      <c r="O2159" s="27"/>
      <c r="P2159" s="110">
        <v>0</v>
      </c>
    </row>
    <row r="2160" spans="1:18" ht="16.5" thickBot="1">
      <c r="A2160" s="14" t="s">
        <v>83</v>
      </c>
      <c r="D2160" s="18">
        <v>5</v>
      </c>
      <c r="E2160" s="26" t="str">
        <f>VLOOKUP($A2160,MATMO,2,FALSE)</f>
        <v>-</v>
      </c>
      <c r="F2160" s="311"/>
      <c r="G2160" s="307" t="str">
        <f>VLOOKUP($A2160,MATMO,3,FALSE)</f>
        <v>-</v>
      </c>
      <c r="H2160" s="110">
        <f>VLOOKUP($A2160,MATMO,4,FALSE)*$Q$7</f>
        <v>0</v>
      </c>
      <c r="I2160" s="537" t="str">
        <f t="shared" si="410"/>
        <v>-</v>
      </c>
      <c r="J2160" s="538">
        <f t="shared" si="411"/>
        <v>0</v>
      </c>
      <c r="K2160" s="539" t="s">
        <v>2299</v>
      </c>
      <c r="L2160" s="20"/>
      <c r="O2160" s="27"/>
      <c r="P2160" s="110">
        <v>0</v>
      </c>
      <c r="R2160" s="29" t="s">
        <v>2307</v>
      </c>
    </row>
    <row r="2161" spans="1:19" ht="16.5" thickBot="1">
      <c r="A2161" s="14">
        <f>A2121+1</f>
        <v>46</v>
      </c>
      <c r="B2161" s="14" t="str">
        <f>"MO" &amp; TEXT(A2161,"##000")</f>
        <v>MO046</v>
      </c>
      <c r="D2161" s="18"/>
      <c r="E2161" s="591" t="s">
        <v>2301</v>
      </c>
      <c r="F2161" s="592"/>
      <c r="G2161" s="592"/>
      <c r="H2161" s="592"/>
      <c r="I2161" s="328"/>
      <c r="J2161" s="362">
        <f>SUM(J2156:J2160)</f>
        <v>20.817329812499999</v>
      </c>
      <c r="K2161" s="365" t="str">
        <f>+G2156</f>
        <v>hs</v>
      </c>
      <c r="L2161" s="20"/>
      <c r="N2161" s="111">
        <f>+P2161+R2161</f>
        <v>0</v>
      </c>
      <c r="O2161" s="27"/>
      <c r="P2161" s="27">
        <f>SUM(P2154:P2160)</f>
        <v>0</v>
      </c>
      <c r="Q2161" s="26">
        <v>0.9</v>
      </c>
      <c r="R2161" s="287">
        <f>+Q2161*P2161</f>
        <v>0</v>
      </c>
      <c r="S2161" s="288"/>
    </row>
    <row r="2162" spans="1:19">
      <c r="D2162" s="18"/>
      <c r="E2162" s="593" t="s">
        <v>101</v>
      </c>
      <c r="F2162" s="594"/>
      <c r="G2162" s="594"/>
      <c r="H2162" s="594"/>
      <c r="I2162" s="594"/>
      <c r="J2162" s="595"/>
      <c r="K2162" s="347"/>
      <c r="L2162" s="20"/>
      <c r="P2162" s="14" t="s">
        <v>2308</v>
      </c>
    </row>
    <row r="2163" spans="1:19">
      <c r="A2163" s="14" t="s">
        <v>119</v>
      </c>
      <c r="D2163" s="18">
        <v>1</v>
      </c>
      <c r="E2163" s="26" t="str">
        <f>VLOOKUP($A2163,MATMO,2,FALSE)</f>
        <v>Herramientas de Mano</v>
      </c>
      <c r="F2163" s="311">
        <v>1</v>
      </c>
      <c r="G2163" s="307" t="str">
        <f>VLOOKUP($A2163,MATMO,3,FALSE)</f>
        <v>gl</v>
      </c>
      <c r="H2163" s="110">
        <f>+(J2154+J2161)*$Q$5</f>
        <v>1177.6726931925</v>
      </c>
      <c r="I2163" s="345" t="str">
        <f>+G2163</f>
        <v>gl</v>
      </c>
      <c r="J2163" s="350">
        <f t="shared" ref="J2163:J2167" si="412">+H2163*F2163</f>
        <v>1177.6726931925</v>
      </c>
      <c r="K2163" s="360" t="s">
        <v>2299</v>
      </c>
      <c r="L2163" s="20"/>
      <c r="M2163" s="14" t="s">
        <v>2004</v>
      </c>
    </row>
    <row r="2164" spans="1:19">
      <c r="A2164" s="14" t="s">
        <v>118</v>
      </c>
      <c r="D2164" s="18">
        <v>2</v>
      </c>
      <c r="E2164" s="26" t="str">
        <f>VLOOKUP($A2164,MATMO,2,FALSE)</f>
        <v>-</v>
      </c>
      <c r="F2164" s="311"/>
      <c r="G2164" s="307" t="str">
        <f>VLOOKUP($A2164,MATMO,3,FALSE)</f>
        <v>-</v>
      </c>
      <c r="H2164" s="110">
        <f>VLOOKUP($A2164,MATMO,4,FALSE)*$Q$6</f>
        <v>0</v>
      </c>
      <c r="I2164" s="543" t="str">
        <f t="shared" ref="I2164:I2167" si="413">+G2164</f>
        <v>-</v>
      </c>
      <c r="J2164" s="538">
        <f t="shared" si="412"/>
        <v>0</v>
      </c>
      <c r="K2164" s="539" t="s">
        <v>2299</v>
      </c>
      <c r="L2164" s="20"/>
    </row>
    <row r="2165" spans="1:19">
      <c r="A2165" s="14" t="s">
        <v>118</v>
      </c>
      <c r="D2165" s="18">
        <v>3</v>
      </c>
      <c r="E2165" s="26" t="str">
        <f>VLOOKUP($A2165,MATMO,2,FALSE)</f>
        <v>-</v>
      </c>
      <c r="F2165" s="311"/>
      <c r="G2165" s="307" t="str">
        <f>VLOOKUP($A2165,MATMO,3,FALSE)</f>
        <v>-</v>
      </c>
      <c r="H2165" s="110">
        <f>VLOOKUP($A2165,MATMO,4,FALSE)*$Q$6</f>
        <v>0</v>
      </c>
      <c r="I2165" s="543" t="str">
        <f t="shared" si="413"/>
        <v>-</v>
      </c>
      <c r="J2165" s="538">
        <f t="shared" si="412"/>
        <v>0</v>
      </c>
      <c r="K2165" s="539" t="s">
        <v>2299</v>
      </c>
      <c r="L2165" s="20"/>
    </row>
    <row r="2166" spans="1:19">
      <c r="A2166" s="14" t="s">
        <v>118</v>
      </c>
      <c r="D2166" s="18">
        <v>4</v>
      </c>
      <c r="E2166" s="26" t="str">
        <f>VLOOKUP($A2166,MATMO,2,FALSE)</f>
        <v>-</v>
      </c>
      <c r="F2166" s="311"/>
      <c r="G2166" s="307" t="str">
        <f>VLOOKUP($A2166,MATMO,3,FALSE)</f>
        <v>-</v>
      </c>
      <c r="H2166" s="110">
        <f>VLOOKUP($A2166,MATMO,4,FALSE)*$Q$6</f>
        <v>0</v>
      </c>
      <c r="I2166" s="543" t="str">
        <f t="shared" si="413"/>
        <v>-</v>
      </c>
      <c r="J2166" s="538">
        <f t="shared" si="412"/>
        <v>0</v>
      </c>
      <c r="K2166" s="539" t="s">
        <v>2299</v>
      </c>
      <c r="L2166" s="20"/>
    </row>
    <row r="2167" spans="1:19">
      <c r="A2167" s="14" t="s">
        <v>118</v>
      </c>
      <c r="D2167" s="18">
        <v>5</v>
      </c>
      <c r="E2167" s="26" t="str">
        <f>VLOOKUP($A2167,MATMO,2,FALSE)</f>
        <v>-</v>
      </c>
      <c r="F2167" s="311"/>
      <c r="G2167" s="307" t="str">
        <f>VLOOKUP($A2167,MATMO,3,FALSE)</f>
        <v>-</v>
      </c>
      <c r="H2167" s="110">
        <f>VLOOKUP($A2167,MATMO,4,FALSE)*$Q$6</f>
        <v>0</v>
      </c>
      <c r="I2167" s="543" t="str">
        <f t="shared" si="413"/>
        <v>-</v>
      </c>
      <c r="J2167" s="538">
        <f t="shared" si="412"/>
        <v>0</v>
      </c>
      <c r="K2167" s="539" t="s">
        <v>2299</v>
      </c>
      <c r="L2167" s="20"/>
    </row>
    <row r="2168" spans="1:19">
      <c r="A2168" s="14">
        <f>A2121+1</f>
        <v>46</v>
      </c>
      <c r="B2168" s="14" t="str">
        <f>"E" &amp; TEXT(A2168,"##000")</f>
        <v>E046</v>
      </c>
      <c r="D2168" s="18"/>
      <c r="E2168" s="591" t="s">
        <v>2300</v>
      </c>
      <c r="F2168" s="592"/>
      <c r="G2168" s="592"/>
      <c r="H2168" s="592"/>
      <c r="I2168" s="328"/>
      <c r="J2168" s="362">
        <f>SUM(J2163:J2167)</f>
        <v>1177.6726931925</v>
      </c>
      <c r="K2168" s="365" t="s">
        <v>116</v>
      </c>
      <c r="L2168" s="20"/>
    </row>
    <row r="2169" spans="1:19">
      <c r="D2169" s="18"/>
      <c r="E2169" s="596"/>
      <c r="F2169" s="597"/>
      <c r="G2169" s="597"/>
      <c r="H2169" s="597"/>
      <c r="I2169" s="597"/>
      <c r="J2169" s="598"/>
      <c r="K2169" s="348"/>
      <c r="L2169" s="20"/>
    </row>
    <row r="2170" spans="1:19">
      <c r="D2170" s="18"/>
      <c r="E2170" s="591" t="s">
        <v>2306</v>
      </c>
      <c r="F2170" s="592"/>
      <c r="G2170" s="592"/>
      <c r="H2170" s="592"/>
      <c r="I2170" s="328"/>
      <c r="J2170" s="308">
        <f>+J2168+J2161+J2154</f>
        <v>30619.490023005001</v>
      </c>
      <c r="K2170" s="365" t="str">
        <f>+F2131</f>
        <v>ud</v>
      </c>
      <c r="L2170" s="20"/>
    </row>
    <row r="2171" spans="1:19">
      <c r="D2171" s="18"/>
      <c r="E2171" s="591" t="s">
        <v>2305</v>
      </c>
      <c r="F2171" s="592"/>
      <c r="G2171" s="592"/>
      <c r="H2171" s="592"/>
      <c r="I2171" s="406">
        <f>+$Q$9</f>
        <v>1.6902999999999999</v>
      </c>
      <c r="J2171" s="308">
        <f>+$Q$9*J2170</f>
        <v>51756.123985885351</v>
      </c>
      <c r="K2171" s="365" t="str">
        <f>+F2131</f>
        <v>ud</v>
      </c>
      <c r="L2171" s="20"/>
    </row>
    <row r="2172" spans="1:19">
      <c r="A2172" s="14">
        <f>A2125+1</f>
        <v>46</v>
      </c>
      <c r="B2172" s="14" t="str">
        <f>"TR" &amp; TEXT(A2172,"##000")</f>
        <v>TR046</v>
      </c>
      <c r="C2172" s="14">
        <f>+C2125+1</f>
        <v>46</v>
      </c>
      <c r="D2172" s="18"/>
      <c r="E2172" s="591" t="s">
        <v>2304</v>
      </c>
      <c r="F2172" s="592"/>
      <c r="G2172" s="592"/>
      <c r="H2172" s="592"/>
      <c r="I2172" s="328"/>
      <c r="J2172" s="308">
        <f>+J2171</f>
        <v>51756.123985885351</v>
      </c>
      <c r="K2172" s="365" t="str">
        <f>+F2131</f>
        <v>ud</v>
      </c>
      <c r="L2172" s="20"/>
    </row>
    <row r="2173" spans="1:19" ht="16.5" thickBot="1">
      <c r="D2173" s="21"/>
      <c r="E2173" s="30"/>
      <c r="F2173" s="30"/>
      <c r="G2173" s="30"/>
      <c r="H2173" s="30"/>
      <c r="I2173" s="30"/>
      <c r="J2173" s="30"/>
      <c r="K2173" s="349"/>
      <c r="L2173" s="22"/>
    </row>
    <row r="2174" spans="1:19" ht="16.5" thickTop="1">
      <c r="D2174" s="15"/>
      <c r="E2174" s="16"/>
      <c r="F2174" s="16"/>
      <c r="G2174" s="16"/>
      <c r="H2174" s="16"/>
      <c r="I2174" s="16"/>
      <c r="J2174" s="16"/>
      <c r="K2174" s="16"/>
      <c r="L2174" s="17"/>
    </row>
    <row r="2175" spans="1:19">
      <c r="A2175" s="14" t="s">
        <v>1860</v>
      </c>
      <c r="D2175" s="18"/>
      <c r="E2175" s="23" t="s">
        <v>95</v>
      </c>
      <c r="F2175" s="364" t="str">
        <f>VLOOKUP($A2175,DATRUB,3,FALSE)</f>
        <v>RUBRO XI:</v>
      </c>
      <c r="G2175" s="599" t="str">
        <f>VLOOKUP($A2175,DATRUB,4,FALSE)</f>
        <v>CARPINTERÍA METÁLICA y HERRERÍA</v>
      </c>
      <c r="H2175" s="599"/>
      <c r="I2175" s="599"/>
      <c r="J2175" s="599"/>
      <c r="K2175" s="599"/>
      <c r="L2175" s="20"/>
    </row>
    <row r="2176" spans="1:19" ht="35.1" customHeight="1">
      <c r="A2176" s="14" t="s">
        <v>1868</v>
      </c>
      <c r="D2176" s="18"/>
      <c r="E2176" s="23" t="s">
        <v>96</v>
      </c>
      <c r="F2176" s="399">
        <f>VLOOKUP($A2176,DATRUB,3,FALSE)</f>
        <v>11.9</v>
      </c>
      <c r="G2176" s="599" t="str">
        <f>VLOOKUP($A2176,DATRUB,4,FALSE)</f>
        <v>PV5: 3,50 x 2,55</v>
      </c>
      <c r="H2176" s="599"/>
      <c r="I2176" s="599"/>
      <c r="J2176" s="599"/>
      <c r="K2176" s="599"/>
      <c r="L2176" s="20"/>
    </row>
    <row r="2177" spans="1:13" ht="35.1" customHeight="1">
      <c r="A2177" s="14" t="s">
        <v>1868</v>
      </c>
      <c r="D2177" s="18"/>
      <c r="E2177" s="23" t="s">
        <v>97</v>
      </c>
      <c r="F2177" s="399">
        <f>VLOOKUP($A2177,DATRUB,3,FALSE)</f>
        <v>11.9</v>
      </c>
      <c r="G2177" s="599" t="str">
        <f>VLOOKUP($A2177,DATRUB,4,FALSE)</f>
        <v>PV5: 3,50 x 2,55</v>
      </c>
      <c r="H2177" s="599"/>
      <c r="I2177" s="599"/>
      <c r="J2177" s="599"/>
      <c r="K2177" s="599"/>
      <c r="L2177" s="20"/>
    </row>
    <row r="2178" spans="1:13">
      <c r="D2178" s="18"/>
      <c r="E2178" s="23" t="s">
        <v>98</v>
      </c>
      <c r="F2178" s="364" t="str">
        <f>VLOOKUP($A2177,DATRUB,5,FALSE)</f>
        <v>ud</v>
      </c>
      <c r="G2178" s="600"/>
      <c r="H2178" s="600"/>
      <c r="I2178" s="600"/>
      <c r="J2178" s="600"/>
      <c r="K2178" s="600"/>
      <c r="L2178" s="20"/>
    </row>
    <row r="2179" spans="1:13">
      <c r="D2179" s="18"/>
      <c r="E2179" s="364" t="s">
        <v>1158</v>
      </c>
      <c r="F2179" s="363" t="s">
        <v>1250</v>
      </c>
      <c r="G2179" s="364" t="s">
        <v>24</v>
      </c>
      <c r="H2179" s="364" t="s">
        <v>25</v>
      </c>
      <c r="I2179" s="364" t="s">
        <v>24</v>
      </c>
      <c r="J2179" s="364" t="s">
        <v>2298</v>
      </c>
      <c r="K2179" s="364" t="s">
        <v>24</v>
      </c>
      <c r="L2179" s="20"/>
    </row>
    <row r="2180" spans="1:13">
      <c r="D2180" s="18"/>
      <c r="E2180" s="593" t="s">
        <v>99</v>
      </c>
      <c r="F2180" s="594"/>
      <c r="G2180" s="594"/>
      <c r="H2180" s="594"/>
      <c r="I2180" s="594"/>
      <c r="J2180" s="594"/>
      <c r="K2180" s="595"/>
      <c r="L2180" s="20"/>
    </row>
    <row r="2181" spans="1:13">
      <c r="A2181" s="14" t="s">
        <v>2395</v>
      </c>
      <c r="D2181" s="18">
        <v>1</v>
      </c>
      <c r="E2181" s="355" t="str">
        <f t="shared" ref="E2181:E2200" si="414">VLOOKUP($A2181,MATMO,2,FALSE)</f>
        <v>PV5: 3,50 x 2,55</v>
      </c>
      <c r="F2181" s="356">
        <v>1</v>
      </c>
      <c r="G2181" s="357" t="str">
        <f t="shared" ref="G2181:G2200" si="415">VLOOKUP($A2181,MATMO,3,FALSE)</f>
        <v>un</v>
      </c>
      <c r="H2181" s="358">
        <f t="shared" ref="H2181:H2200" si="416">VLOOKUP($A2181,MATMO,4,FALSE)*$Q$6</f>
        <v>29421</v>
      </c>
      <c r="I2181" s="359" t="str">
        <f t="shared" ref="I2181:I2200" si="417">+G2181</f>
        <v>un</v>
      </c>
      <c r="J2181" s="361">
        <f>+H2181*F2181</f>
        <v>29421</v>
      </c>
      <c r="K2181" s="360" t="s">
        <v>2299</v>
      </c>
      <c r="L2181" s="20"/>
      <c r="M2181" s="14" t="s">
        <v>2005</v>
      </c>
    </row>
    <row r="2182" spans="1:13">
      <c r="A2182" s="14" t="s">
        <v>31</v>
      </c>
      <c r="D2182" s="18">
        <v>2</v>
      </c>
      <c r="E2182" s="26" t="str">
        <f t="shared" si="414"/>
        <v>-</v>
      </c>
      <c r="F2182" s="311"/>
      <c r="G2182" s="307" t="str">
        <f t="shared" si="415"/>
        <v>-</v>
      </c>
      <c r="H2182" s="351">
        <f t="shared" si="416"/>
        <v>0</v>
      </c>
      <c r="I2182" s="537" t="str">
        <f t="shared" si="417"/>
        <v>-</v>
      </c>
      <c r="J2182" s="538">
        <f t="shared" ref="J2182:J2200" si="418">+H2182*F2182</f>
        <v>0</v>
      </c>
      <c r="K2182" s="539" t="s">
        <v>2299</v>
      </c>
      <c r="L2182" s="20"/>
    </row>
    <row r="2183" spans="1:13">
      <c r="A2183" s="14" t="s">
        <v>31</v>
      </c>
      <c r="D2183" s="18">
        <v>3</v>
      </c>
      <c r="E2183" s="26" t="str">
        <f t="shared" si="414"/>
        <v>-</v>
      </c>
      <c r="F2183" s="311"/>
      <c r="G2183" s="307" t="str">
        <f t="shared" si="415"/>
        <v>-</v>
      </c>
      <c r="H2183" s="351">
        <f t="shared" si="416"/>
        <v>0</v>
      </c>
      <c r="I2183" s="537" t="str">
        <f t="shared" si="417"/>
        <v>-</v>
      </c>
      <c r="J2183" s="538">
        <f t="shared" si="418"/>
        <v>0</v>
      </c>
      <c r="K2183" s="539" t="s">
        <v>2299</v>
      </c>
      <c r="L2183" s="20"/>
    </row>
    <row r="2184" spans="1:13">
      <c r="A2184" s="14" t="s">
        <v>31</v>
      </c>
      <c r="D2184" s="18">
        <v>4</v>
      </c>
      <c r="E2184" s="26" t="str">
        <f t="shared" si="414"/>
        <v>-</v>
      </c>
      <c r="F2184" s="311"/>
      <c r="G2184" s="307" t="str">
        <f t="shared" si="415"/>
        <v>-</v>
      </c>
      <c r="H2184" s="351">
        <f t="shared" si="416"/>
        <v>0</v>
      </c>
      <c r="I2184" s="537" t="str">
        <f t="shared" si="417"/>
        <v>-</v>
      </c>
      <c r="J2184" s="538">
        <f t="shared" si="418"/>
        <v>0</v>
      </c>
      <c r="K2184" s="539" t="s">
        <v>2299</v>
      </c>
      <c r="L2184" s="20"/>
    </row>
    <row r="2185" spans="1:13">
      <c r="A2185" s="14" t="s">
        <v>31</v>
      </c>
      <c r="D2185" s="18">
        <v>5</v>
      </c>
      <c r="E2185" s="26" t="str">
        <f t="shared" si="414"/>
        <v>-</v>
      </c>
      <c r="F2185" s="311"/>
      <c r="G2185" s="307" t="str">
        <f t="shared" si="415"/>
        <v>-</v>
      </c>
      <c r="H2185" s="351">
        <f t="shared" si="416"/>
        <v>0</v>
      </c>
      <c r="I2185" s="537" t="str">
        <f t="shared" si="417"/>
        <v>-</v>
      </c>
      <c r="J2185" s="538">
        <f t="shared" si="418"/>
        <v>0</v>
      </c>
      <c r="K2185" s="539" t="s">
        <v>2299</v>
      </c>
      <c r="L2185" s="20"/>
    </row>
    <row r="2186" spans="1:13">
      <c r="A2186" s="14" t="s">
        <v>31</v>
      </c>
      <c r="D2186" s="18">
        <v>6</v>
      </c>
      <c r="E2186" s="26" t="str">
        <f t="shared" si="414"/>
        <v>-</v>
      </c>
      <c r="F2186" s="311"/>
      <c r="G2186" s="307" t="str">
        <f t="shared" si="415"/>
        <v>-</v>
      </c>
      <c r="H2186" s="351">
        <f t="shared" si="416"/>
        <v>0</v>
      </c>
      <c r="I2186" s="537" t="str">
        <f t="shared" si="417"/>
        <v>-</v>
      </c>
      <c r="J2186" s="538">
        <f t="shared" si="418"/>
        <v>0</v>
      </c>
      <c r="K2186" s="539" t="s">
        <v>2299</v>
      </c>
      <c r="L2186" s="20"/>
    </row>
    <row r="2187" spans="1:13">
      <c r="A2187" s="14" t="s">
        <v>31</v>
      </c>
      <c r="D2187" s="18">
        <v>7</v>
      </c>
      <c r="E2187" s="26" t="str">
        <f t="shared" si="414"/>
        <v>-</v>
      </c>
      <c r="F2187" s="311"/>
      <c r="G2187" s="307" t="str">
        <f t="shared" si="415"/>
        <v>-</v>
      </c>
      <c r="H2187" s="351">
        <f t="shared" si="416"/>
        <v>0</v>
      </c>
      <c r="I2187" s="537" t="str">
        <f t="shared" si="417"/>
        <v>-</v>
      </c>
      <c r="J2187" s="538">
        <f t="shared" si="418"/>
        <v>0</v>
      </c>
      <c r="K2187" s="539" t="s">
        <v>2299</v>
      </c>
      <c r="L2187" s="20"/>
    </row>
    <row r="2188" spans="1:13">
      <c r="A2188" s="14" t="s">
        <v>31</v>
      </c>
      <c r="D2188" s="18">
        <v>8</v>
      </c>
      <c r="E2188" s="26" t="str">
        <f t="shared" si="414"/>
        <v>-</v>
      </c>
      <c r="F2188" s="311"/>
      <c r="G2188" s="307" t="str">
        <f t="shared" si="415"/>
        <v>-</v>
      </c>
      <c r="H2188" s="351">
        <f t="shared" si="416"/>
        <v>0</v>
      </c>
      <c r="I2188" s="537" t="str">
        <f t="shared" si="417"/>
        <v>-</v>
      </c>
      <c r="J2188" s="538">
        <f t="shared" si="418"/>
        <v>0</v>
      </c>
      <c r="K2188" s="539" t="s">
        <v>2299</v>
      </c>
      <c r="L2188" s="20"/>
    </row>
    <row r="2189" spans="1:13">
      <c r="A2189" s="14" t="s">
        <v>31</v>
      </c>
      <c r="D2189" s="18">
        <v>9</v>
      </c>
      <c r="E2189" s="26" t="str">
        <f t="shared" si="414"/>
        <v>-</v>
      </c>
      <c r="F2189" s="311"/>
      <c r="G2189" s="307" t="str">
        <f t="shared" si="415"/>
        <v>-</v>
      </c>
      <c r="H2189" s="351">
        <f t="shared" si="416"/>
        <v>0</v>
      </c>
      <c r="I2189" s="537" t="str">
        <f t="shared" si="417"/>
        <v>-</v>
      </c>
      <c r="J2189" s="538">
        <f t="shared" si="418"/>
        <v>0</v>
      </c>
      <c r="K2189" s="539" t="s">
        <v>2299</v>
      </c>
      <c r="L2189" s="20"/>
    </row>
    <row r="2190" spans="1:13">
      <c r="A2190" s="14" t="s">
        <v>31</v>
      </c>
      <c r="D2190" s="18">
        <v>10</v>
      </c>
      <c r="E2190" s="26" t="str">
        <f t="shared" si="414"/>
        <v>-</v>
      </c>
      <c r="F2190" s="311"/>
      <c r="G2190" s="307" t="str">
        <f t="shared" si="415"/>
        <v>-</v>
      </c>
      <c r="H2190" s="351">
        <f t="shared" si="416"/>
        <v>0</v>
      </c>
      <c r="I2190" s="537" t="str">
        <f t="shared" si="417"/>
        <v>-</v>
      </c>
      <c r="J2190" s="538">
        <f t="shared" si="418"/>
        <v>0</v>
      </c>
      <c r="K2190" s="539" t="s">
        <v>2299</v>
      </c>
      <c r="L2190" s="20"/>
    </row>
    <row r="2191" spans="1:13">
      <c r="A2191" s="14" t="s">
        <v>31</v>
      </c>
      <c r="D2191" s="18">
        <v>11</v>
      </c>
      <c r="E2191" s="26" t="str">
        <f t="shared" si="414"/>
        <v>-</v>
      </c>
      <c r="F2191" s="311"/>
      <c r="G2191" s="307" t="str">
        <f t="shared" si="415"/>
        <v>-</v>
      </c>
      <c r="H2191" s="351">
        <f t="shared" si="416"/>
        <v>0</v>
      </c>
      <c r="I2191" s="537" t="str">
        <f t="shared" si="417"/>
        <v>-</v>
      </c>
      <c r="J2191" s="538">
        <f t="shared" si="418"/>
        <v>0</v>
      </c>
      <c r="K2191" s="539" t="s">
        <v>2299</v>
      </c>
      <c r="L2191" s="20"/>
    </row>
    <row r="2192" spans="1:13">
      <c r="A2192" s="14" t="s">
        <v>31</v>
      </c>
      <c r="D2192" s="18">
        <v>12</v>
      </c>
      <c r="E2192" s="26" t="str">
        <f t="shared" si="414"/>
        <v>-</v>
      </c>
      <c r="F2192" s="311"/>
      <c r="G2192" s="307" t="str">
        <f t="shared" si="415"/>
        <v>-</v>
      </c>
      <c r="H2192" s="352">
        <f t="shared" si="416"/>
        <v>0</v>
      </c>
      <c r="I2192" s="537" t="str">
        <f t="shared" si="417"/>
        <v>-</v>
      </c>
      <c r="J2192" s="538">
        <f t="shared" si="418"/>
        <v>0</v>
      </c>
      <c r="K2192" s="539" t="s">
        <v>2299</v>
      </c>
      <c r="L2192" s="20"/>
    </row>
    <row r="2193" spans="1:19">
      <c r="A2193" s="14" t="s">
        <v>31</v>
      </c>
      <c r="D2193" s="18">
        <v>13</v>
      </c>
      <c r="E2193" s="26" t="str">
        <f t="shared" si="414"/>
        <v>-</v>
      </c>
      <c r="F2193" s="311"/>
      <c r="G2193" s="307" t="str">
        <f t="shared" si="415"/>
        <v>-</v>
      </c>
      <c r="H2193" s="352">
        <f t="shared" si="416"/>
        <v>0</v>
      </c>
      <c r="I2193" s="537" t="str">
        <f t="shared" si="417"/>
        <v>-</v>
      </c>
      <c r="J2193" s="538">
        <f t="shared" si="418"/>
        <v>0</v>
      </c>
      <c r="K2193" s="539" t="s">
        <v>2299</v>
      </c>
      <c r="L2193" s="20"/>
    </row>
    <row r="2194" spans="1:19">
      <c r="A2194" s="14" t="s">
        <v>31</v>
      </c>
      <c r="D2194" s="18">
        <v>14</v>
      </c>
      <c r="E2194" s="26" t="str">
        <f t="shared" si="414"/>
        <v>-</v>
      </c>
      <c r="F2194" s="311"/>
      <c r="G2194" s="307" t="str">
        <f t="shared" si="415"/>
        <v>-</v>
      </c>
      <c r="H2194" s="352">
        <f t="shared" si="416"/>
        <v>0</v>
      </c>
      <c r="I2194" s="537" t="str">
        <f t="shared" si="417"/>
        <v>-</v>
      </c>
      <c r="J2194" s="538">
        <f t="shared" si="418"/>
        <v>0</v>
      </c>
      <c r="K2194" s="539" t="s">
        <v>2299</v>
      </c>
      <c r="L2194" s="20"/>
    </row>
    <row r="2195" spans="1:19">
      <c r="A2195" s="14" t="s">
        <v>31</v>
      </c>
      <c r="D2195" s="18">
        <v>15</v>
      </c>
      <c r="E2195" s="26" t="str">
        <f t="shared" si="414"/>
        <v>-</v>
      </c>
      <c r="F2195" s="311"/>
      <c r="G2195" s="307" t="str">
        <f t="shared" si="415"/>
        <v>-</v>
      </c>
      <c r="H2195" s="352">
        <f t="shared" si="416"/>
        <v>0</v>
      </c>
      <c r="I2195" s="537" t="str">
        <f t="shared" si="417"/>
        <v>-</v>
      </c>
      <c r="J2195" s="538">
        <f t="shared" si="418"/>
        <v>0</v>
      </c>
      <c r="K2195" s="539" t="s">
        <v>2299</v>
      </c>
      <c r="L2195" s="20"/>
    </row>
    <row r="2196" spans="1:19">
      <c r="A2196" s="14" t="s">
        <v>31</v>
      </c>
      <c r="D2196" s="18">
        <v>16</v>
      </c>
      <c r="E2196" s="26" t="str">
        <f t="shared" si="414"/>
        <v>-</v>
      </c>
      <c r="F2196" s="311"/>
      <c r="G2196" s="307" t="str">
        <f t="shared" si="415"/>
        <v>-</v>
      </c>
      <c r="H2196" s="352">
        <f t="shared" si="416"/>
        <v>0</v>
      </c>
      <c r="I2196" s="537" t="str">
        <f t="shared" si="417"/>
        <v>-</v>
      </c>
      <c r="J2196" s="538">
        <f t="shared" si="418"/>
        <v>0</v>
      </c>
      <c r="K2196" s="539" t="s">
        <v>2299</v>
      </c>
      <c r="L2196" s="20"/>
    </row>
    <row r="2197" spans="1:19">
      <c r="A2197" s="14" t="s">
        <v>31</v>
      </c>
      <c r="D2197" s="18">
        <v>17</v>
      </c>
      <c r="E2197" s="26" t="str">
        <f t="shared" si="414"/>
        <v>-</v>
      </c>
      <c r="F2197" s="311"/>
      <c r="G2197" s="307" t="str">
        <f t="shared" si="415"/>
        <v>-</v>
      </c>
      <c r="H2197" s="352">
        <f t="shared" si="416"/>
        <v>0</v>
      </c>
      <c r="I2197" s="537" t="str">
        <f t="shared" si="417"/>
        <v>-</v>
      </c>
      <c r="J2197" s="538">
        <f t="shared" si="418"/>
        <v>0</v>
      </c>
      <c r="K2197" s="539" t="s">
        <v>2299</v>
      </c>
      <c r="L2197" s="20"/>
    </row>
    <row r="2198" spans="1:19">
      <c r="A2198" s="14" t="s">
        <v>31</v>
      </c>
      <c r="D2198" s="18">
        <v>18</v>
      </c>
      <c r="E2198" s="26" t="str">
        <f t="shared" si="414"/>
        <v>-</v>
      </c>
      <c r="F2198" s="311"/>
      <c r="G2198" s="307" t="str">
        <f t="shared" si="415"/>
        <v>-</v>
      </c>
      <c r="H2198" s="352">
        <f t="shared" si="416"/>
        <v>0</v>
      </c>
      <c r="I2198" s="537" t="str">
        <f t="shared" si="417"/>
        <v>-</v>
      </c>
      <c r="J2198" s="538">
        <f t="shared" si="418"/>
        <v>0</v>
      </c>
      <c r="K2198" s="539" t="s">
        <v>2299</v>
      </c>
      <c r="L2198" s="20"/>
    </row>
    <row r="2199" spans="1:19">
      <c r="A2199" s="14" t="s">
        <v>31</v>
      </c>
      <c r="D2199" s="18">
        <v>19</v>
      </c>
      <c r="E2199" s="26" t="str">
        <f t="shared" si="414"/>
        <v>-</v>
      </c>
      <c r="F2199" s="311"/>
      <c r="G2199" s="307" t="str">
        <f t="shared" si="415"/>
        <v>-</v>
      </c>
      <c r="H2199" s="352">
        <f t="shared" si="416"/>
        <v>0</v>
      </c>
      <c r="I2199" s="537" t="str">
        <f t="shared" si="417"/>
        <v>-</v>
      </c>
      <c r="J2199" s="538">
        <f t="shared" si="418"/>
        <v>0</v>
      </c>
      <c r="K2199" s="539" t="s">
        <v>2299</v>
      </c>
      <c r="L2199" s="20"/>
    </row>
    <row r="2200" spans="1:19">
      <c r="A2200" s="14" t="s">
        <v>31</v>
      </c>
      <c r="D2200" s="18">
        <v>20</v>
      </c>
      <c r="E2200" s="26" t="str">
        <f t="shared" si="414"/>
        <v>-</v>
      </c>
      <c r="F2200" s="311"/>
      <c r="G2200" s="307" t="str">
        <f t="shared" si="415"/>
        <v>-</v>
      </c>
      <c r="H2200" s="352">
        <f t="shared" si="416"/>
        <v>0</v>
      </c>
      <c r="I2200" s="537" t="str">
        <f t="shared" si="417"/>
        <v>-</v>
      </c>
      <c r="J2200" s="541">
        <f t="shared" si="418"/>
        <v>0</v>
      </c>
      <c r="K2200" s="539" t="s">
        <v>2299</v>
      </c>
      <c r="L2200" s="20"/>
    </row>
    <row r="2201" spans="1:19">
      <c r="A2201" s="14">
        <f>A2168+1</f>
        <v>47</v>
      </c>
      <c r="B2201" s="14" t="str">
        <f>"MA" &amp; TEXT(A2201,"##000")</f>
        <v>MA047</v>
      </c>
      <c r="D2201" s="18"/>
      <c r="E2201" s="591" t="s">
        <v>2302</v>
      </c>
      <c r="F2201" s="592"/>
      <c r="G2201" s="592"/>
      <c r="H2201" s="592"/>
      <c r="I2201" s="328"/>
      <c r="J2201" s="353">
        <f>SUM(J2181:J2200)</f>
        <v>29421</v>
      </c>
      <c r="K2201" s="365" t="str">
        <f>+F2178</f>
        <v>ud</v>
      </c>
      <c r="L2201" s="20"/>
      <c r="O2201" s="27" t="s">
        <v>1525</v>
      </c>
      <c r="P2201" s="110">
        <v>0</v>
      </c>
    </row>
    <row r="2202" spans="1:19">
      <c r="D2202" s="18"/>
      <c r="E2202" s="593" t="s">
        <v>100</v>
      </c>
      <c r="F2202" s="594"/>
      <c r="G2202" s="594"/>
      <c r="H2202" s="594"/>
      <c r="I2202" s="594"/>
      <c r="J2202" s="595"/>
      <c r="K2202" s="347"/>
      <c r="L2202" s="20"/>
      <c r="O2202" s="27" t="s">
        <v>1524</v>
      </c>
      <c r="P2202" s="110">
        <v>0</v>
      </c>
    </row>
    <row r="2203" spans="1:19">
      <c r="A2203" s="14" t="s">
        <v>84</v>
      </c>
      <c r="D2203" s="18">
        <v>1</v>
      </c>
      <c r="E2203" s="26" t="str">
        <f>VLOOKUP($A2203,MATMO,2,FALSE)</f>
        <v>Oficial</v>
      </c>
      <c r="F2203" s="311">
        <v>0.15</v>
      </c>
      <c r="G2203" s="307" t="str">
        <f>VLOOKUP($A2203,MATMO,3,FALSE)</f>
        <v>hs</v>
      </c>
      <c r="H2203" s="110">
        <f>VLOOKUP($A2203,MATMO,4,FALSE)*$Q$7</f>
        <v>55.38</v>
      </c>
      <c r="I2203" s="354" t="str">
        <f t="shared" ref="I2203:I2207" si="419">+G2203</f>
        <v>hs</v>
      </c>
      <c r="J2203" s="350">
        <f t="shared" ref="J2203:J2207" si="420">+H2203*F2203</f>
        <v>8.3070000000000004</v>
      </c>
      <c r="K2203" s="360" t="s">
        <v>2299</v>
      </c>
      <c r="L2203" s="20"/>
      <c r="M2203" s="14" t="s">
        <v>2006</v>
      </c>
      <c r="O2203" s="27" t="s">
        <v>1526</v>
      </c>
      <c r="P2203" s="110">
        <v>0</v>
      </c>
    </row>
    <row r="2204" spans="1:19">
      <c r="A2204" s="14" t="s">
        <v>85</v>
      </c>
      <c r="D2204" s="18">
        <v>2</v>
      </c>
      <c r="E2204" s="26" t="str">
        <f>VLOOKUP($A2204,MATMO,2,FALSE)</f>
        <v>Ayudante</v>
      </c>
      <c r="F2204" s="311">
        <v>0.05</v>
      </c>
      <c r="G2204" s="307" t="str">
        <f>VLOOKUP($A2204,MATMO,3,FALSE)</f>
        <v>hs</v>
      </c>
      <c r="H2204" s="110">
        <f>VLOOKUP($A2204,MATMO,4,FALSE)*$Q$7</f>
        <v>46.87</v>
      </c>
      <c r="I2204" s="354" t="str">
        <f t="shared" si="419"/>
        <v>hs</v>
      </c>
      <c r="J2204" s="350">
        <f t="shared" si="420"/>
        <v>2.3435000000000001</v>
      </c>
      <c r="K2204" s="360" t="s">
        <v>2299</v>
      </c>
      <c r="L2204" s="20"/>
      <c r="O2204" s="27" t="s">
        <v>1527</v>
      </c>
      <c r="P2204" s="110">
        <v>0</v>
      </c>
    </row>
    <row r="2205" spans="1:19">
      <c r="A2205" s="14" t="s">
        <v>2311</v>
      </c>
      <c r="D2205" s="18">
        <v>3</v>
      </c>
      <c r="E2205" s="26" t="str">
        <f>VLOOKUP($A2205,MATMO,2,FALSE)</f>
        <v>Cargas Sociales Oficial</v>
      </c>
      <c r="F2205" s="311">
        <f>+F2203</f>
        <v>0.15</v>
      </c>
      <c r="G2205" s="307" t="str">
        <f>VLOOKUP($A2205,MATMO,3,FALSE)</f>
        <v>hs</v>
      </c>
      <c r="H2205" s="110">
        <f>VLOOKUP($A2205,MATMO,4,FALSE)*$Q$7</f>
        <v>52.742782499999997</v>
      </c>
      <c r="I2205" s="354" t="str">
        <f t="shared" si="419"/>
        <v>hs</v>
      </c>
      <c r="J2205" s="350">
        <f t="shared" si="420"/>
        <v>7.9114173749999992</v>
      </c>
      <c r="K2205" s="360" t="s">
        <v>2299</v>
      </c>
      <c r="L2205" s="20"/>
      <c r="O2205" s="27"/>
      <c r="P2205" s="110">
        <v>0</v>
      </c>
    </row>
    <row r="2206" spans="1:19">
      <c r="A2206" s="14" t="s">
        <v>2312</v>
      </c>
      <c r="D2206" s="18">
        <v>4</v>
      </c>
      <c r="E2206" s="26" t="str">
        <f>VLOOKUP($A2206,MATMO,2,FALSE)</f>
        <v>Cargas Sociales Ayudante</v>
      </c>
      <c r="F2206" s="311">
        <f>+F2204</f>
        <v>0.05</v>
      </c>
      <c r="G2206" s="307" t="str">
        <f>VLOOKUP($A2206,MATMO,3,FALSE)</f>
        <v>hs</v>
      </c>
      <c r="H2206" s="110">
        <f>VLOOKUP($A2206,MATMO,4,FALSE)*$Q$7</f>
        <v>45.108248750000001</v>
      </c>
      <c r="I2206" s="354" t="str">
        <f t="shared" si="419"/>
        <v>hs</v>
      </c>
      <c r="J2206" s="350">
        <f t="shared" si="420"/>
        <v>2.2554124375</v>
      </c>
      <c r="K2206" s="360" t="s">
        <v>2299</v>
      </c>
      <c r="L2206" s="20"/>
      <c r="O2206" s="27"/>
      <c r="P2206" s="110">
        <v>0</v>
      </c>
    </row>
    <row r="2207" spans="1:19" ht="16.5" thickBot="1">
      <c r="A2207" s="14" t="s">
        <v>83</v>
      </c>
      <c r="D2207" s="18">
        <v>5</v>
      </c>
      <c r="E2207" s="26" t="str">
        <f>VLOOKUP($A2207,MATMO,2,FALSE)</f>
        <v>-</v>
      </c>
      <c r="F2207" s="311"/>
      <c r="G2207" s="307" t="str">
        <f>VLOOKUP($A2207,MATMO,3,FALSE)</f>
        <v>-</v>
      </c>
      <c r="H2207" s="110">
        <f>VLOOKUP($A2207,MATMO,4,FALSE)*$Q$7</f>
        <v>0</v>
      </c>
      <c r="I2207" s="354" t="str">
        <f t="shared" si="419"/>
        <v>-</v>
      </c>
      <c r="J2207" s="350">
        <f t="shared" si="420"/>
        <v>0</v>
      </c>
      <c r="K2207" s="360" t="s">
        <v>2299</v>
      </c>
      <c r="L2207" s="20"/>
      <c r="O2207" s="27"/>
      <c r="P2207" s="110">
        <v>0</v>
      </c>
      <c r="R2207" s="29" t="s">
        <v>2307</v>
      </c>
    </row>
    <row r="2208" spans="1:19" ht="16.5" thickBot="1">
      <c r="A2208" s="14">
        <f>A2168+1</f>
        <v>47</v>
      </c>
      <c r="B2208" s="14" t="str">
        <f>"MO" &amp; TEXT(A2208,"##000")</f>
        <v>MO047</v>
      </c>
      <c r="D2208" s="18"/>
      <c r="E2208" s="591" t="s">
        <v>2301</v>
      </c>
      <c r="F2208" s="592"/>
      <c r="G2208" s="592"/>
      <c r="H2208" s="592"/>
      <c r="I2208" s="328"/>
      <c r="J2208" s="362">
        <f>SUM(J2203:J2207)</f>
        <v>20.817329812499999</v>
      </c>
      <c r="K2208" s="365" t="str">
        <f>+G2203</f>
        <v>hs</v>
      </c>
      <c r="L2208" s="20"/>
      <c r="N2208" s="111">
        <f>+P2208+R2208</f>
        <v>0</v>
      </c>
      <c r="O2208" s="27"/>
      <c r="P2208" s="27">
        <f>SUM(P2201:P2207)</f>
        <v>0</v>
      </c>
      <c r="Q2208" s="26">
        <v>0.9</v>
      </c>
      <c r="R2208" s="287">
        <f>+Q2208*P2208</f>
        <v>0</v>
      </c>
      <c r="S2208" s="288"/>
    </row>
    <row r="2209" spans="1:16">
      <c r="D2209" s="18"/>
      <c r="E2209" s="593" t="s">
        <v>101</v>
      </c>
      <c r="F2209" s="594"/>
      <c r="G2209" s="594"/>
      <c r="H2209" s="594"/>
      <c r="I2209" s="594"/>
      <c r="J2209" s="595"/>
      <c r="K2209" s="347"/>
      <c r="L2209" s="20"/>
      <c r="P2209" s="14" t="s">
        <v>2308</v>
      </c>
    </row>
    <row r="2210" spans="1:16">
      <c r="A2210" s="14" t="s">
        <v>119</v>
      </c>
      <c r="D2210" s="18">
        <v>1</v>
      </c>
      <c r="E2210" s="26" t="str">
        <f>VLOOKUP($A2210,MATMO,2,FALSE)</f>
        <v>Herramientas de Mano</v>
      </c>
      <c r="F2210" s="311">
        <v>1</v>
      </c>
      <c r="G2210" s="307" t="str">
        <f>VLOOKUP($A2210,MATMO,3,FALSE)</f>
        <v>gl</v>
      </c>
      <c r="H2210" s="110">
        <f>+(J2201+J2208)*$Q$5</f>
        <v>1177.6726931925</v>
      </c>
      <c r="I2210" s="345" t="str">
        <f>+G2210</f>
        <v>gl</v>
      </c>
      <c r="J2210" s="350">
        <f t="shared" ref="J2210:J2214" si="421">+H2210*F2210</f>
        <v>1177.6726931925</v>
      </c>
      <c r="K2210" s="360" t="s">
        <v>2299</v>
      </c>
      <c r="L2210" s="20"/>
      <c r="M2210" s="14" t="s">
        <v>2004</v>
      </c>
    </row>
    <row r="2211" spans="1:16">
      <c r="A2211" s="14" t="s">
        <v>118</v>
      </c>
      <c r="D2211" s="18">
        <v>2</v>
      </c>
      <c r="E2211" s="26" t="str">
        <f>VLOOKUP($A2211,MATMO,2,FALSE)</f>
        <v>-</v>
      </c>
      <c r="F2211" s="311"/>
      <c r="G2211" s="307" t="str">
        <f>VLOOKUP($A2211,MATMO,3,FALSE)</f>
        <v>-</v>
      </c>
      <c r="H2211" s="110">
        <f>VLOOKUP($A2211,MATMO,4,FALSE)*$Q$6</f>
        <v>0</v>
      </c>
      <c r="I2211" s="543" t="str">
        <f t="shared" ref="I2211:I2214" si="422">+G2211</f>
        <v>-</v>
      </c>
      <c r="J2211" s="538">
        <f t="shared" si="421"/>
        <v>0</v>
      </c>
      <c r="K2211" s="539" t="s">
        <v>2299</v>
      </c>
      <c r="L2211" s="20"/>
    </row>
    <row r="2212" spans="1:16">
      <c r="A2212" s="14" t="s">
        <v>118</v>
      </c>
      <c r="D2212" s="18">
        <v>3</v>
      </c>
      <c r="E2212" s="26" t="str">
        <f>VLOOKUP($A2212,MATMO,2,FALSE)</f>
        <v>-</v>
      </c>
      <c r="F2212" s="311"/>
      <c r="G2212" s="307" t="str">
        <f>VLOOKUP($A2212,MATMO,3,FALSE)</f>
        <v>-</v>
      </c>
      <c r="H2212" s="110">
        <f>VLOOKUP($A2212,MATMO,4,FALSE)*$Q$6</f>
        <v>0</v>
      </c>
      <c r="I2212" s="543" t="str">
        <f t="shared" si="422"/>
        <v>-</v>
      </c>
      <c r="J2212" s="538">
        <f t="shared" si="421"/>
        <v>0</v>
      </c>
      <c r="K2212" s="539" t="s">
        <v>2299</v>
      </c>
      <c r="L2212" s="20"/>
    </row>
    <row r="2213" spans="1:16">
      <c r="A2213" s="14" t="s">
        <v>118</v>
      </c>
      <c r="D2213" s="18">
        <v>4</v>
      </c>
      <c r="E2213" s="26" t="str">
        <f>VLOOKUP($A2213,MATMO,2,FALSE)</f>
        <v>-</v>
      </c>
      <c r="F2213" s="311"/>
      <c r="G2213" s="307" t="str">
        <f>VLOOKUP($A2213,MATMO,3,FALSE)</f>
        <v>-</v>
      </c>
      <c r="H2213" s="110">
        <f>VLOOKUP($A2213,MATMO,4,FALSE)*$Q$6</f>
        <v>0</v>
      </c>
      <c r="I2213" s="543" t="str">
        <f t="shared" si="422"/>
        <v>-</v>
      </c>
      <c r="J2213" s="538">
        <f t="shared" si="421"/>
        <v>0</v>
      </c>
      <c r="K2213" s="539" t="s">
        <v>2299</v>
      </c>
      <c r="L2213" s="20"/>
    </row>
    <row r="2214" spans="1:16">
      <c r="A2214" s="14" t="s">
        <v>118</v>
      </c>
      <c r="D2214" s="18">
        <v>5</v>
      </c>
      <c r="E2214" s="26" t="str">
        <f>VLOOKUP($A2214,MATMO,2,FALSE)</f>
        <v>-</v>
      </c>
      <c r="F2214" s="311"/>
      <c r="G2214" s="307" t="str">
        <f>VLOOKUP($A2214,MATMO,3,FALSE)</f>
        <v>-</v>
      </c>
      <c r="H2214" s="110">
        <f>VLOOKUP($A2214,MATMO,4,FALSE)*$Q$6</f>
        <v>0</v>
      </c>
      <c r="I2214" s="543" t="str">
        <f t="shared" si="422"/>
        <v>-</v>
      </c>
      <c r="J2214" s="538">
        <f t="shared" si="421"/>
        <v>0</v>
      </c>
      <c r="K2214" s="539" t="s">
        <v>2299</v>
      </c>
      <c r="L2214" s="20"/>
    </row>
    <row r="2215" spans="1:16">
      <c r="A2215" s="14">
        <f>A2168+1</f>
        <v>47</v>
      </c>
      <c r="B2215" s="14" t="str">
        <f>"E" &amp; TEXT(A2215,"##000")</f>
        <v>E047</v>
      </c>
      <c r="D2215" s="18"/>
      <c r="E2215" s="591" t="s">
        <v>2300</v>
      </c>
      <c r="F2215" s="592"/>
      <c r="G2215" s="592"/>
      <c r="H2215" s="592"/>
      <c r="I2215" s="328"/>
      <c r="J2215" s="362">
        <f>SUM(J2210:J2214)</f>
        <v>1177.6726931925</v>
      </c>
      <c r="K2215" s="365" t="s">
        <v>116</v>
      </c>
      <c r="L2215" s="20"/>
    </row>
    <row r="2216" spans="1:16">
      <c r="D2216" s="18"/>
      <c r="E2216" s="596"/>
      <c r="F2216" s="597"/>
      <c r="G2216" s="597"/>
      <c r="H2216" s="597"/>
      <c r="I2216" s="597"/>
      <c r="J2216" s="598"/>
      <c r="K2216" s="348"/>
      <c r="L2216" s="20"/>
    </row>
    <row r="2217" spans="1:16">
      <c r="D2217" s="18"/>
      <c r="E2217" s="591" t="s">
        <v>2306</v>
      </c>
      <c r="F2217" s="592"/>
      <c r="G2217" s="592"/>
      <c r="H2217" s="592"/>
      <c r="I2217" s="328"/>
      <c r="J2217" s="308">
        <f>+J2215+J2208+J2201</f>
        <v>30619.490023005001</v>
      </c>
      <c r="K2217" s="365" t="str">
        <f>+F2178</f>
        <v>ud</v>
      </c>
      <c r="L2217" s="20"/>
    </row>
    <row r="2218" spans="1:16">
      <c r="D2218" s="18"/>
      <c r="E2218" s="591" t="s">
        <v>2305</v>
      </c>
      <c r="F2218" s="592"/>
      <c r="G2218" s="592"/>
      <c r="H2218" s="592"/>
      <c r="I2218" s="406">
        <f>+$Q$9</f>
        <v>1.6902999999999999</v>
      </c>
      <c r="J2218" s="308">
        <f>+$Q$9*J2217</f>
        <v>51756.123985885351</v>
      </c>
      <c r="K2218" s="365" t="str">
        <f>+F2178</f>
        <v>ud</v>
      </c>
      <c r="L2218" s="20"/>
    </row>
    <row r="2219" spans="1:16">
      <c r="A2219" s="14">
        <f>A2172+1</f>
        <v>47</v>
      </c>
      <c r="B2219" s="14" t="str">
        <f>"TR" &amp; TEXT(A2219,"##000")</f>
        <v>TR047</v>
      </c>
      <c r="C2219" s="14">
        <f>+C2172+1</f>
        <v>47</v>
      </c>
      <c r="D2219" s="18"/>
      <c r="E2219" s="591" t="s">
        <v>2304</v>
      </c>
      <c r="F2219" s="592"/>
      <c r="G2219" s="592"/>
      <c r="H2219" s="592"/>
      <c r="I2219" s="328"/>
      <c r="J2219" s="308">
        <f>+J2218</f>
        <v>51756.123985885351</v>
      </c>
      <c r="K2219" s="365" t="str">
        <f>+F2178</f>
        <v>ud</v>
      </c>
      <c r="L2219" s="20"/>
    </row>
    <row r="2220" spans="1:16" ht="16.5" thickBot="1">
      <c r="D2220" s="21"/>
      <c r="E2220" s="30"/>
      <c r="F2220" s="30"/>
      <c r="G2220" s="30"/>
      <c r="H2220" s="30"/>
      <c r="I2220" s="30"/>
      <c r="J2220" s="30"/>
      <c r="K2220" s="349"/>
      <c r="L2220" s="22"/>
    </row>
    <row r="2221" spans="1:16" ht="16.5" thickTop="1">
      <c r="D2221" s="15"/>
      <c r="E2221" s="16"/>
      <c r="F2221" s="16"/>
      <c r="G2221" s="16"/>
      <c r="H2221" s="16"/>
      <c r="I2221" s="16"/>
      <c r="J2221" s="16"/>
      <c r="K2221" s="16"/>
      <c r="L2221" s="17"/>
    </row>
    <row r="2222" spans="1:16">
      <c r="A2222" s="14" t="s">
        <v>1860</v>
      </c>
      <c r="D2222" s="18"/>
      <c r="E2222" s="23" t="s">
        <v>95</v>
      </c>
      <c r="F2222" s="364" t="str">
        <f>VLOOKUP($A2222,DATRUB,3,FALSE)</f>
        <v>RUBRO XI:</v>
      </c>
      <c r="G2222" s="599" t="str">
        <f>VLOOKUP($A2222,DATRUB,4,FALSE)</f>
        <v>CARPINTERÍA METÁLICA y HERRERÍA</v>
      </c>
      <c r="H2222" s="599"/>
      <c r="I2222" s="599"/>
      <c r="J2222" s="599"/>
      <c r="K2222" s="599"/>
      <c r="L2222" s="20"/>
    </row>
    <row r="2223" spans="1:16" ht="35.1" customHeight="1">
      <c r="A2223" s="14" t="s">
        <v>1869</v>
      </c>
      <c r="D2223" s="18"/>
      <c r="E2223" s="23" t="s">
        <v>96</v>
      </c>
      <c r="F2223" s="550">
        <f>VLOOKUP($A2223,DATRUB,3,FALSE)</f>
        <v>11.1</v>
      </c>
      <c r="G2223" s="599" t="str">
        <f>VLOOKUP($A2223,DATRUB,4,FALSE)</f>
        <v>B1: 6,73 x 0,60</v>
      </c>
      <c r="H2223" s="599"/>
      <c r="I2223" s="599"/>
      <c r="J2223" s="599"/>
      <c r="K2223" s="599"/>
      <c r="L2223" s="20"/>
    </row>
    <row r="2224" spans="1:16" ht="35.1" customHeight="1">
      <c r="A2224" s="14" t="s">
        <v>1869</v>
      </c>
      <c r="D2224" s="18"/>
      <c r="E2224" s="23" t="s">
        <v>97</v>
      </c>
      <c r="F2224" s="550">
        <f>VLOOKUP($A2224,DATRUB,3,FALSE)</f>
        <v>11.1</v>
      </c>
      <c r="G2224" s="599" t="str">
        <f>VLOOKUP($A2224,DATRUB,4,FALSE)</f>
        <v>B1: 6,73 x 0,60</v>
      </c>
      <c r="H2224" s="599"/>
      <c r="I2224" s="599"/>
      <c r="J2224" s="599"/>
      <c r="K2224" s="599"/>
      <c r="L2224" s="20"/>
    </row>
    <row r="2225" spans="1:13">
      <c r="D2225" s="18"/>
      <c r="E2225" s="23" t="s">
        <v>98</v>
      </c>
      <c r="F2225" s="364" t="str">
        <f>VLOOKUP($A2224,DATRUB,5,FALSE)</f>
        <v>ud</v>
      </c>
      <c r="G2225" s="600"/>
      <c r="H2225" s="600"/>
      <c r="I2225" s="600"/>
      <c r="J2225" s="600"/>
      <c r="K2225" s="600"/>
      <c r="L2225" s="20"/>
    </row>
    <row r="2226" spans="1:13">
      <c r="D2226" s="18"/>
      <c r="E2226" s="364" t="s">
        <v>1158</v>
      </c>
      <c r="F2226" s="363" t="s">
        <v>1250</v>
      </c>
      <c r="G2226" s="364" t="s">
        <v>24</v>
      </c>
      <c r="H2226" s="364" t="s">
        <v>25</v>
      </c>
      <c r="I2226" s="364" t="s">
        <v>24</v>
      </c>
      <c r="J2226" s="364" t="s">
        <v>2298</v>
      </c>
      <c r="K2226" s="364" t="s">
        <v>24</v>
      </c>
      <c r="L2226" s="20"/>
    </row>
    <row r="2227" spans="1:13">
      <c r="D2227" s="18"/>
      <c r="E2227" s="593" t="s">
        <v>99</v>
      </c>
      <c r="F2227" s="594"/>
      <c r="G2227" s="594"/>
      <c r="H2227" s="594"/>
      <c r="I2227" s="594"/>
      <c r="J2227" s="594"/>
      <c r="K2227" s="595"/>
      <c r="L2227" s="20"/>
    </row>
    <row r="2228" spans="1:13">
      <c r="A2228" s="14" t="s">
        <v>2396</v>
      </c>
      <c r="D2228" s="18">
        <v>1</v>
      </c>
      <c r="E2228" s="355" t="str">
        <f t="shared" ref="E2228:E2247" si="423">VLOOKUP($A2228,MATMO,2,FALSE)</f>
        <v>B1: 6,73 x 0,60</v>
      </c>
      <c r="F2228" s="356">
        <v>1</v>
      </c>
      <c r="G2228" s="357" t="str">
        <f t="shared" ref="G2228:G2247" si="424">VLOOKUP($A2228,MATMO,3,FALSE)</f>
        <v>un</v>
      </c>
      <c r="H2228" s="358">
        <f t="shared" ref="H2228:H2247" si="425">VLOOKUP($A2228,MATMO,4,FALSE)*$Q$6</f>
        <v>17022.150000000001</v>
      </c>
      <c r="I2228" s="359" t="str">
        <f t="shared" ref="I2228:I2247" si="426">+G2228</f>
        <v>un</v>
      </c>
      <c r="J2228" s="361">
        <f>+H2228*F2228</f>
        <v>17022.150000000001</v>
      </c>
      <c r="K2228" s="360" t="s">
        <v>2299</v>
      </c>
      <c r="L2228" s="20"/>
      <c r="M2228" s="14" t="s">
        <v>2005</v>
      </c>
    </row>
    <row r="2229" spans="1:13">
      <c r="A2229" s="14" t="s">
        <v>31</v>
      </c>
      <c r="D2229" s="18">
        <v>2</v>
      </c>
      <c r="E2229" s="26" t="str">
        <f t="shared" si="423"/>
        <v>-</v>
      </c>
      <c r="F2229" s="311"/>
      <c r="G2229" s="307" t="str">
        <f t="shared" si="424"/>
        <v>-</v>
      </c>
      <c r="H2229" s="351">
        <f t="shared" si="425"/>
        <v>0</v>
      </c>
      <c r="I2229" s="537" t="str">
        <f t="shared" si="426"/>
        <v>-</v>
      </c>
      <c r="J2229" s="538">
        <f t="shared" ref="J2229:J2247" si="427">+H2229*F2229</f>
        <v>0</v>
      </c>
      <c r="K2229" s="539" t="s">
        <v>2299</v>
      </c>
      <c r="L2229" s="20"/>
    </row>
    <row r="2230" spans="1:13">
      <c r="A2230" s="14" t="s">
        <v>31</v>
      </c>
      <c r="D2230" s="18">
        <v>3</v>
      </c>
      <c r="E2230" s="26" t="str">
        <f t="shared" si="423"/>
        <v>-</v>
      </c>
      <c r="F2230" s="311"/>
      <c r="G2230" s="307" t="str">
        <f t="shared" si="424"/>
        <v>-</v>
      </c>
      <c r="H2230" s="351">
        <f t="shared" si="425"/>
        <v>0</v>
      </c>
      <c r="I2230" s="537" t="str">
        <f t="shared" si="426"/>
        <v>-</v>
      </c>
      <c r="J2230" s="538">
        <f t="shared" si="427"/>
        <v>0</v>
      </c>
      <c r="K2230" s="539" t="s">
        <v>2299</v>
      </c>
      <c r="L2230" s="20"/>
    </row>
    <row r="2231" spans="1:13">
      <c r="A2231" s="14" t="s">
        <v>31</v>
      </c>
      <c r="D2231" s="18">
        <v>4</v>
      </c>
      <c r="E2231" s="26" t="str">
        <f t="shared" si="423"/>
        <v>-</v>
      </c>
      <c r="F2231" s="311"/>
      <c r="G2231" s="307" t="str">
        <f t="shared" si="424"/>
        <v>-</v>
      </c>
      <c r="H2231" s="351">
        <f t="shared" si="425"/>
        <v>0</v>
      </c>
      <c r="I2231" s="537" t="str">
        <f t="shared" si="426"/>
        <v>-</v>
      </c>
      <c r="J2231" s="538">
        <f t="shared" si="427"/>
        <v>0</v>
      </c>
      <c r="K2231" s="539" t="s">
        <v>2299</v>
      </c>
      <c r="L2231" s="20"/>
    </row>
    <row r="2232" spans="1:13">
      <c r="A2232" s="14" t="s">
        <v>31</v>
      </c>
      <c r="D2232" s="18">
        <v>5</v>
      </c>
      <c r="E2232" s="26" t="str">
        <f t="shared" si="423"/>
        <v>-</v>
      </c>
      <c r="F2232" s="311"/>
      <c r="G2232" s="307" t="str">
        <f t="shared" si="424"/>
        <v>-</v>
      </c>
      <c r="H2232" s="351">
        <f t="shared" si="425"/>
        <v>0</v>
      </c>
      <c r="I2232" s="537" t="str">
        <f t="shared" si="426"/>
        <v>-</v>
      </c>
      <c r="J2232" s="538">
        <f t="shared" si="427"/>
        <v>0</v>
      </c>
      <c r="K2232" s="539" t="s">
        <v>2299</v>
      </c>
      <c r="L2232" s="20"/>
    </row>
    <row r="2233" spans="1:13">
      <c r="A2233" s="14" t="s">
        <v>31</v>
      </c>
      <c r="D2233" s="18">
        <v>6</v>
      </c>
      <c r="E2233" s="26" t="str">
        <f t="shared" si="423"/>
        <v>-</v>
      </c>
      <c r="F2233" s="311"/>
      <c r="G2233" s="307" t="str">
        <f t="shared" si="424"/>
        <v>-</v>
      </c>
      <c r="H2233" s="351">
        <f t="shared" si="425"/>
        <v>0</v>
      </c>
      <c r="I2233" s="537" t="str">
        <f t="shared" si="426"/>
        <v>-</v>
      </c>
      <c r="J2233" s="538">
        <f t="shared" si="427"/>
        <v>0</v>
      </c>
      <c r="K2233" s="539" t="s">
        <v>2299</v>
      </c>
      <c r="L2233" s="20"/>
    </row>
    <row r="2234" spans="1:13">
      <c r="A2234" s="14" t="s">
        <v>31</v>
      </c>
      <c r="D2234" s="18">
        <v>7</v>
      </c>
      <c r="E2234" s="26" t="str">
        <f t="shared" si="423"/>
        <v>-</v>
      </c>
      <c r="F2234" s="311"/>
      <c r="G2234" s="307" t="str">
        <f t="shared" si="424"/>
        <v>-</v>
      </c>
      <c r="H2234" s="351">
        <f t="shared" si="425"/>
        <v>0</v>
      </c>
      <c r="I2234" s="537" t="str">
        <f t="shared" si="426"/>
        <v>-</v>
      </c>
      <c r="J2234" s="538">
        <f t="shared" si="427"/>
        <v>0</v>
      </c>
      <c r="K2234" s="539" t="s">
        <v>2299</v>
      </c>
      <c r="L2234" s="20"/>
    </row>
    <row r="2235" spans="1:13">
      <c r="A2235" s="14" t="s">
        <v>31</v>
      </c>
      <c r="D2235" s="18">
        <v>8</v>
      </c>
      <c r="E2235" s="26" t="str">
        <f t="shared" si="423"/>
        <v>-</v>
      </c>
      <c r="F2235" s="311"/>
      <c r="G2235" s="307" t="str">
        <f t="shared" si="424"/>
        <v>-</v>
      </c>
      <c r="H2235" s="351">
        <f t="shared" si="425"/>
        <v>0</v>
      </c>
      <c r="I2235" s="537" t="str">
        <f t="shared" si="426"/>
        <v>-</v>
      </c>
      <c r="J2235" s="538">
        <f t="shared" si="427"/>
        <v>0</v>
      </c>
      <c r="K2235" s="539" t="s">
        <v>2299</v>
      </c>
      <c r="L2235" s="20"/>
    </row>
    <row r="2236" spans="1:13">
      <c r="A2236" s="14" t="s">
        <v>31</v>
      </c>
      <c r="D2236" s="18">
        <v>9</v>
      </c>
      <c r="E2236" s="26" t="str">
        <f t="shared" si="423"/>
        <v>-</v>
      </c>
      <c r="F2236" s="311"/>
      <c r="G2236" s="307" t="str">
        <f t="shared" si="424"/>
        <v>-</v>
      </c>
      <c r="H2236" s="351">
        <f t="shared" si="425"/>
        <v>0</v>
      </c>
      <c r="I2236" s="537" t="str">
        <f t="shared" si="426"/>
        <v>-</v>
      </c>
      <c r="J2236" s="538">
        <f t="shared" si="427"/>
        <v>0</v>
      </c>
      <c r="K2236" s="539" t="s">
        <v>2299</v>
      </c>
      <c r="L2236" s="20"/>
    </row>
    <row r="2237" spans="1:13">
      <c r="A2237" s="14" t="s">
        <v>31</v>
      </c>
      <c r="D2237" s="18">
        <v>10</v>
      </c>
      <c r="E2237" s="26" t="str">
        <f t="shared" si="423"/>
        <v>-</v>
      </c>
      <c r="F2237" s="311"/>
      <c r="G2237" s="307" t="str">
        <f t="shared" si="424"/>
        <v>-</v>
      </c>
      <c r="H2237" s="351">
        <f t="shared" si="425"/>
        <v>0</v>
      </c>
      <c r="I2237" s="537" t="str">
        <f t="shared" si="426"/>
        <v>-</v>
      </c>
      <c r="J2237" s="538">
        <f t="shared" si="427"/>
        <v>0</v>
      </c>
      <c r="K2237" s="539" t="s">
        <v>2299</v>
      </c>
      <c r="L2237" s="20"/>
    </row>
    <row r="2238" spans="1:13">
      <c r="A2238" s="14" t="s">
        <v>31</v>
      </c>
      <c r="D2238" s="18">
        <v>11</v>
      </c>
      <c r="E2238" s="26" t="str">
        <f t="shared" si="423"/>
        <v>-</v>
      </c>
      <c r="F2238" s="311"/>
      <c r="G2238" s="307" t="str">
        <f t="shared" si="424"/>
        <v>-</v>
      </c>
      <c r="H2238" s="351">
        <f t="shared" si="425"/>
        <v>0</v>
      </c>
      <c r="I2238" s="537" t="str">
        <f t="shared" si="426"/>
        <v>-</v>
      </c>
      <c r="J2238" s="538">
        <f t="shared" si="427"/>
        <v>0</v>
      </c>
      <c r="K2238" s="539" t="s">
        <v>2299</v>
      </c>
      <c r="L2238" s="20"/>
    </row>
    <row r="2239" spans="1:13">
      <c r="A2239" s="14" t="s">
        <v>31</v>
      </c>
      <c r="D2239" s="18">
        <v>12</v>
      </c>
      <c r="E2239" s="26" t="str">
        <f t="shared" si="423"/>
        <v>-</v>
      </c>
      <c r="F2239" s="311"/>
      <c r="G2239" s="307" t="str">
        <f t="shared" si="424"/>
        <v>-</v>
      </c>
      <c r="H2239" s="352">
        <f t="shared" si="425"/>
        <v>0</v>
      </c>
      <c r="I2239" s="537" t="str">
        <f t="shared" si="426"/>
        <v>-</v>
      </c>
      <c r="J2239" s="538">
        <f t="shared" si="427"/>
        <v>0</v>
      </c>
      <c r="K2239" s="539" t="s">
        <v>2299</v>
      </c>
      <c r="L2239" s="20"/>
    </row>
    <row r="2240" spans="1:13">
      <c r="A2240" s="14" t="s">
        <v>31</v>
      </c>
      <c r="D2240" s="18">
        <v>13</v>
      </c>
      <c r="E2240" s="26" t="str">
        <f t="shared" si="423"/>
        <v>-</v>
      </c>
      <c r="F2240" s="311"/>
      <c r="G2240" s="307" t="str">
        <f t="shared" si="424"/>
        <v>-</v>
      </c>
      <c r="H2240" s="352">
        <f t="shared" si="425"/>
        <v>0</v>
      </c>
      <c r="I2240" s="537" t="str">
        <f t="shared" si="426"/>
        <v>-</v>
      </c>
      <c r="J2240" s="538">
        <f t="shared" si="427"/>
        <v>0</v>
      </c>
      <c r="K2240" s="539" t="s">
        <v>2299</v>
      </c>
      <c r="L2240" s="20"/>
    </row>
    <row r="2241" spans="1:19">
      <c r="A2241" s="14" t="s">
        <v>31</v>
      </c>
      <c r="D2241" s="18">
        <v>14</v>
      </c>
      <c r="E2241" s="26" t="str">
        <f t="shared" si="423"/>
        <v>-</v>
      </c>
      <c r="F2241" s="311"/>
      <c r="G2241" s="307" t="str">
        <f t="shared" si="424"/>
        <v>-</v>
      </c>
      <c r="H2241" s="352">
        <f t="shared" si="425"/>
        <v>0</v>
      </c>
      <c r="I2241" s="537" t="str">
        <f t="shared" si="426"/>
        <v>-</v>
      </c>
      <c r="J2241" s="538">
        <f t="shared" si="427"/>
        <v>0</v>
      </c>
      <c r="K2241" s="539" t="s">
        <v>2299</v>
      </c>
      <c r="L2241" s="20"/>
    </row>
    <row r="2242" spans="1:19">
      <c r="A2242" s="14" t="s">
        <v>31</v>
      </c>
      <c r="D2242" s="18">
        <v>15</v>
      </c>
      <c r="E2242" s="26" t="str">
        <f t="shared" si="423"/>
        <v>-</v>
      </c>
      <c r="F2242" s="311"/>
      <c r="G2242" s="307" t="str">
        <f t="shared" si="424"/>
        <v>-</v>
      </c>
      <c r="H2242" s="352">
        <f t="shared" si="425"/>
        <v>0</v>
      </c>
      <c r="I2242" s="537" t="str">
        <f t="shared" si="426"/>
        <v>-</v>
      </c>
      <c r="J2242" s="538">
        <f t="shared" si="427"/>
        <v>0</v>
      </c>
      <c r="K2242" s="539" t="s">
        <v>2299</v>
      </c>
      <c r="L2242" s="20"/>
    </row>
    <row r="2243" spans="1:19">
      <c r="A2243" s="14" t="s">
        <v>31</v>
      </c>
      <c r="D2243" s="18">
        <v>16</v>
      </c>
      <c r="E2243" s="26" t="str">
        <f t="shared" si="423"/>
        <v>-</v>
      </c>
      <c r="F2243" s="311"/>
      <c r="G2243" s="307" t="str">
        <f t="shared" si="424"/>
        <v>-</v>
      </c>
      <c r="H2243" s="352">
        <f t="shared" si="425"/>
        <v>0</v>
      </c>
      <c r="I2243" s="537" t="str">
        <f t="shared" si="426"/>
        <v>-</v>
      </c>
      <c r="J2243" s="538">
        <f t="shared" si="427"/>
        <v>0</v>
      </c>
      <c r="K2243" s="539" t="s">
        <v>2299</v>
      </c>
      <c r="L2243" s="20"/>
    </row>
    <row r="2244" spans="1:19">
      <c r="A2244" s="14" t="s">
        <v>31</v>
      </c>
      <c r="D2244" s="18">
        <v>17</v>
      </c>
      <c r="E2244" s="26" t="str">
        <f t="shared" si="423"/>
        <v>-</v>
      </c>
      <c r="F2244" s="311"/>
      <c r="G2244" s="307" t="str">
        <f t="shared" si="424"/>
        <v>-</v>
      </c>
      <c r="H2244" s="352">
        <f t="shared" si="425"/>
        <v>0</v>
      </c>
      <c r="I2244" s="537" t="str">
        <f t="shared" si="426"/>
        <v>-</v>
      </c>
      <c r="J2244" s="538">
        <f t="shared" si="427"/>
        <v>0</v>
      </c>
      <c r="K2244" s="539" t="s">
        <v>2299</v>
      </c>
      <c r="L2244" s="20"/>
    </row>
    <row r="2245" spans="1:19">
      <c r="A2245" s="14" t="s">
        <v>31</v>
      </c>
      <c r="D2245" s="18">
        <v>18</v>
      </c>
      <c r="E2245" s="26" t="str">
        <f t="shared" si="423"/>
        <v>-</v>
      </c>
      <c r="F2245" s="311"/>
      <c r="G2245" s="307" t="str">
        <f t="shared" si="424"/>
        <v>-</v>
      </c>
      <c r="H2245" s="352">
        <f t="shared" si="425"/>
        <v>0</v>
      </c>
      <c r="I2245" s="537" t="str">
        <f t="shared" si="426"/>
        <v>-</v>
      </c>
      <c r="J2245" s="538">
        <f t="shared" si="427"/>
        <v>0</v>
      </c>
      <c r="K2245" s="539" t="s">
        <v>2299</v>
      </c>
      <c r="L2245" s="20"/>
    </row>
    <row r="2246" spans="1:19">
      <c r="A2246" s="14" t="s">
        <v>31</v>
      </c>
      <c r="D2246" s="18">
        <v>19</v>
      </c>
      <c r="E2246" s="26" t="str">
        <f t="shared" si="423"/>
        <v>-</v>
      </c>
      <c r="F2246" s="311"/>
      <c r="G2246" s="307" t="str">
        <f t="shared" si="424"/>
        <v>-</v>
      </c>
      <c r="H2246" s="352">
        <f t="shared" si="425"/>
        <v>0</v>
      </c>
      <c r="I2246" s="537" t="str">
        <f t="shared" si="426"/>
        <v>-</v>
      </c>
      <c r="J2246" s="538">
        <f t="shared" si="427"/>
        <v>0</v>
      </c>
      <c r="K2246" s="539" t="s">
        <v>2299</v>
      </c>
      <c r="L2246" s="20"/>
    </row>
    <row r="2247" spans="1:19">
      <c r="A2247" s="14" t="s">
        <v>31</v>
      </c>
      <c r="D2247" s="18">
        <v>20</v>
      </c>
      <c r="E2247" s="26" t="str">
        <f t="shared" si="423"/>
        <v>-</v>
      </c>
      <c r="F2247" s="311"/>
      <c r="G2247" s="307" t="str">
        <f t="shared" si="424"/>
        <v>-</v>
      </c>
      <c r="H2247" s="352">
        <f t="shared" si="425"/>
        <v>0</v>
      </c>
      <c r="I2247" s="537" t="str">
        <f t="shared" si="426"/>
        <v>-</v>
      </c>
      <c r="J2247" s="541">
        <f t="shared" si="427"/>
        <v>0</v>
      </c>
      <c r="K2247" s="539" t="s">
        <v>2299</v>
      </c>
      <c r="L2247" s="20"/>
    </row>
    <row r="2248" spans="1:19">
      <c r="A2248" s="14">
        <f>A2215+1</f>
        <v>48</v>
      </c>
      <c r="B2248" s="14" t="str">
        <f>"MA" &amp; TEXT(A2248,"##000")</f>
        <v>MA048</v>
      </c>
      <c r="D2248" s="18"/>
      <c r="E2248" s="591" t="s">
        <v>2302</v>
      </c>
      <c r="F2248" s="592"/>
      <c r="G2248" s="592"/>
      <c r="H2248" s="592"/>
      <c r="I2248" s="328"/>
      <c r="J2248" s="353">
        <f>SUM(J2228:J2247)</f>
        <v>17022.150000000001</v>
      </c>
      <c r="K2248" s="365" t="str">
        <f>+F2225</f>
        <v>ud</v>
      </c>
      <c r="L2248" s="20"/>
      <c r="O2248" s="27" t="s">
        <v>1525</v>
      </c>
      <c r="P2248" s="110">
        <v>0</v>
      </c>
    </row>
    <row r="2249" spans="1:19">
      <c r="D2249" s="18"/>
      <c r="E2249" s="593" t="s">
        <v>100</v>
      </c>
      <c r="F2249" s="594"/>
      <c r="G2249" s="594"/>
      <c r="H2249" s="594"/>
      <c r="I2249" s="594"/>
      <c r="J2249" s="595"/>
      <c r="K2249" s="347"/>
      <c r="L2249" s="20"/>
      <c r="O2249" s="27" t="s">
        <v>1524</v>
      </c>
      <c r="P2249" s="110">
        <v>0</v>
      </c>
    </row>
    <row r="2250" spans="1:19">
      <c r="A2250" s="14" t="s">
        <v>84</v>
      </c>
      <c r="D2250" s="18">
        <v>1</v>
      </c>
      <c r="E2250" s="26" t="str">
        <f>VLOOKUP($A2250,MATMO,2,FALSE)</f>
        <v>Oficial</v>
      </c>
      <c r="F2250" s="311">
        <v>0.15</v>
      </c>
      <c r="G2250" s="307" t="str">
        <f>VLOOKUP($A2250,MATMO,3,FALSE)</f>
        <v>hs</v>
      </c>
      <c r="H2250" s="110">
        <f>VLOOKUP($A2250,MATMO,4,FALSE)*$Q$7</f>
        <v>55.38</v>
      </c>
      <c r="I2250" s="354" t="str">
        <f t="shared" ref="I2250:I2254" si="428">+G2250</f>
        <v>hs</v>
      </c>
      <c r="J2250" s="350">
        <f t="shared" ref="J2250:J2254" si="429">+H2250*F2250</f>
        <v>8.3070000000000004</v>
      </c>
      <c r="K2250" s="360" t="s">
        <v>2299</v>
      </c>
      <c r="L2250" s="20"/>
      <c r="M2250" s="14" t="s">
        <v>2006</v>
      </c>
      <c r="O2250" s="27" t="s">
        <v>1526</v>
      </c>
      <c r="P2250" s="110">
        <v>0</v>
      </c>
    </row>
    <row r="2251" spans="1:19">
      <c r="A2251" s="14" t="s">
        <v>85</v>
      </c>
      <c r="D2251" s="18">
        <v>2</v>
      </c>
      <c r="E2251" s="26" t="str">
        <f>VLOOKUP($A2251,MATMO,2,FALSE)</f>
        <v>Ayudante</v>
      </c>
      <c r="F2251" s="311">
        <v>0.05</v>
      </c>
      <c r="G2251" s="307" t="str">
        <f>VLOOKUP($A2251,MATMO,3,FALSE)</f>
        <v>hs</v>
      </c>
      <c r="H2251" s="110">
        <f>VLOOKUP($A2251,MATMO,4,FALSE)*$Q$7</f>
        <v>46.87</v>
      </c>
      <c r="I2251" s="354" t="str">
        <f t="shared" si="428"/>
        <v>hs</v>
      </c>
      <c r="J2251" s="350">
        <f t="shared" si="429"/>
        <v>2.3435000000000001</v>
      </c>
      <c r="K2251" s="360" t="s">
        <v>2299</v>
      </c>
      <c r="L2251" s="20"/>
      <c r="O2251" s="27" t="s">
        <v>1527</v>
      </c>
      <c r="P2251" s="110">
        <v>0</v>
      </c>
    </row>
    <row r="2252" spans="1:19">
      <c r="A2252" s="14" t="s">
        <v>2311</v>
      </c>
      <c r="D2252" s="18">
        <v>3</v>
      </c>
      <c r="E2252" s="26" t="str">
        <f>VLOOKUP($A2252,MATMO,2,FALSE)</f>
        <v>Cargas Sociales Oficial</v>
      </c>
      <c r="F2252" s="311">
        <f>+F2250</f>
        <v>0.15</v>
      </c>
      <c r="G2252" s="307" t="str">
        <f>VLOOKUP($A2252,MATMO,3,FALSE)</f>
        <v>hs</v>
      </c>
      <c r="H2252" s="110">
        <f>VLOOKUP($A2252,MATMO,4,FALSE)*$Q$7</f>
        <v>52.742782499999997</v>
      </c>
      <c r="I2252" s="354" t="str">
        <f t="shared" si="428"/>
        <v>hs</v>
      </c>
      <c r="J2252" s="350">
        <f t="shared" si="429"/>
        <v>7.9114173749999992</v>
      </c>
      <c r="K2252" s="360" t="s">
        <v>2299</v>
      </c>
      <c r="L2252" s="20"/>
      <c r="O2252" s="27"/>
      <c r="P2252" s="110">
        <v>0</v>
      </c>
    </row>
    <row r="2253" spans="1:19">
      <c r="A2253" s="14" t="s">
        <v>2312</v>
      </c>
      <c r="D2253" s="18">
        <v>4</v>
      </c>
      <c r="E2253" s="26" t="str">
        <f>VLOOKUP($A2253,MATMO,2,FALSE)</f>
        <v>Cargas Sociales Ayudante</v>
      </c>
      <c r="F2253" s="311">
        <f>+F2251</f>
        <v>0.05</v>
      </c>
      <c r="G2253" s="307" t="str">
        <f>VLOOKUP($A2253,MATMO,3,FALSE)</f>
        <v>hs</v>
      </c>
      <c r="H2253" s="110">
        <f>VLOOKUP($A2253,MATMO,4,FALSE)*$Q$7</f>
        <v>45.108248750000001</v>
      </c>
      <c r="I2253" s="354" t="str">
        <f t="shared" si="428"/>
        <v>hs</v>
      </c>
      <c r="J2253" s="350">
        <f t="shared" si="429"/>
        <v>2.2554124375</v>
      </c>
      <c r="K2253" s="360" t="s">
        <v>2299</v>
      </c>
      <c r="L2253" s="20"/>
      <c r="O2253" s="27"/>
      <c r="P2253" s="110">
        <v>0</v>
      </c>
    </row>
    <row r="2254" spans="1:19" ht="16.5" thickBot="1">
      <c r="A2254" s="14" t="s">
        <v>83</v>
      </c>
      <c r="D2254" s="18">
        <v>5</v>
      </c>
      <c r="E2254" s="26" t="str">
        <f>VLOOKUP($A2254,MATMO,2,FALSE)</f>
        <v>-</v>
      </c>
      <c r="F2254" s="311"/>
      <c r="G2254" s="307" t="str">
        <f>VLOOKUP($A2254,MATMO,3,FALSE)</f>
        <v>-</v>
      </c>
      <c r="H2254" s="110">
        <f>VLOOKUP($A2254,MATMO,4,FALSE)*$Q$7</f>
        <v>0</v>
      </c>
      <c r="I2254" s="537" t="str">
        <f t="shared" si="428"/>
        <v>-</v>
      </c>
      <c r="J2254" s="538">
        <f t="shared" si="429"/>
        <v>0</v>
      </c>
      <c r="K2254" s="539" t="s">
        <v>2299</v>
      </c>
      <c r="L2254" s="20"/>
      <c r="O2254" s="27"/>
      <c r="P2254" s="110">
        <v>0</v>
      </c>
      <c r="R2254" s="29" t="s">
        <v>2307</v>
      </c>
    </row>
    <row r="2255" spans="1:19" ht="16.5" thickBot="1">
      <c r="A2255" s="14">
        <f>A2215+1</f>
        <v>48</v>
      </c>
      <c r="B2255" s="14" t="str">
        <f>"MO" &amp; TEXT(A2255,"##000")</f>
        <v>MO048</v>
      </c>
      <c r="D2255" s="18"/>
      <c r="E2255" s="591" t="s">
        <v>2301</v>
      </c>
      <c r="F2255" s="592"/>
      <c r="G2255" s="592"/>
      <c r="H2255" s="592"/>
      <c r="I2255" s="328"/>
      <c r="J2255" s="362">
        <f>SUM(J2250:J2254)</f>
        <v>20.817329812499999</v>
      </c>
      <c r="K2255" s="365" t="str">
        <f>+G2250</f>
        <v>hs</v>
      </c>
      <c r="L2255" s="20"/>
      <c r="N2255" s="111">
        <f>+P2255+R2255</f>
        <v>0</v>
      </c>
      <c r="O2255" s="27"/>
      <c r="P2255" s="27">
        <f>SUM(P2248:P2254)</f>
        <v>0</v>
      </c>
      <c r="Q2255" s="26">
        <v>0.9</v>
      </c>
      <c r="R2255" s="287">
        <f>+Q2255*P2255</f>
        <v>0</v>
      </c>
      <c r="S2255" s="288"/>
    </row>
    <row r="2256" spans="1:19">
      <c r="D2256" s="18"/>
      <c r="E2256" s="593" t="s">
        <v>101</v>
      </c>
      <c r="F2256" s="594"/>
      <c r="G2256" s="594"/>
      <c r="H2256" s="594"/>
      <c r="I2256" s="594"/>
      <c r="J2256" s="595"/>
      <c r="K2256" s="347"/>
      <c r="L2256" s="20"/>
      <c r="P2256" s="14" t="s">
        <v>2308</v>
      </c>
    </row>
    <row r="2257" spans="1:13">
      <c r="A2257" s="14" t="s">
        <v>119</v>
      </c>
      <c r="D2257" s="18">
        <v>1</v>
      </c>
      <c r="E2257" s="26" t="str">
        <f>VLOOKUP($A2257,MATMO,2,FALSE)</f>
        <v>Herramientas de Mano</v>
      </c>
      <c r="F2257" s="311">
        <v>1</v>
      </c>
      <c r="G2257" s="307" t="str">
        <f>VLOOKUP($A2257,MATMO,3,FALSE)</f>
        <v>gl</v>
      </c>
      <c r="H2257" s="110">
        <f>+(J2248+J2255)*$Q$5</f>
        <v>681.71869319250004</v>
      </c>
      <c r="I2257" s="345" t="str">
        <f>+G2257</f>
        <v>gl</v>
      </c>
      <c r="J2257" s="350">
        <f t="shared" ref="J2257:J2261" si="430">+H2257*F2257</f>
        <v>681.71869319250004</v>
      </c>
      <c r="K2257" s="360" t="s">
        <v>2299</v>
      </c>
      <c r="L2257" s="20"/>
      <c r="M2257" s="14" t="s">
        <v>2004</v>
      </c>
    </row>
    <row r="2258" spans="1:13">
      <c r="A2258" s="14" t="s">
        <v>118</v>
      </c>
      <c r="D2258" s="18">
        <v>2</v>
      </c>
      <c r="E2258" s="26" t="str">
        <f>VLOOKUP($A2258,MATMO,2,FALSE)</f>
        <v>-</v>
      </c>
      <c r="F2258" s="311"/>
      <c r="G2258" s="307" t="str">
        <f>VLOOKUP($A2258,MATMO,3,FALSE)</f>
        <v>-</v>
      </c>
      <c r="H2258" s="110">
        <f>VLOOKUP($A2258,MATMO,4,FALSE)*$Q$6</f>
        <v>0</v>
      </c>
      <c r="I2258" s="543" t="str">
        <f t="shared" ref="I2258:I2261" si="431">+G2258</f>
        <v>-</v>
      </c>
      <c r="J2258" s="538">
        <f t="shared" si="430"/>
        <v>0</v>
      </c>
      <c r="K2258" s="539" t="s">
        <v>2299</v>
      </c>
      <c r="L2258" s="20"/>
    </row>
    <row r="2259" spans="1:13">
      <c r="A2259" s="14" t="s">
        <v>118</v>
      </c>
      <c r="D2259" s="18">
        <v>3</v>
      </c>
      <c r="E2259" s="26" t="str">
        <f>VLOOKUP($A2259,MATMO,2,FALSE)</f>
        <v>-</v>
      </c>
      <c r="F2259" s="311"/>
      <c r="G2259" s="307" t="str">
        <f>VLOOKUP($A2259,MATMO,3,FALSE)</f>
        <v>-</v>
      </c>
      <c r="H2259" s="110">
        <f>VLOOKUP($A2259,MATMO,4,FALSE)*$Q$6</f>
        <v>0</v>
      </c>
      <c r="I2259" s="543" t="str">
        <f t="shared" si="431"/>
        <v>-</v>
      </c>
      <c r="J2259" s="538">
        <f t="shared" si="430"/>
        <v>0</v>
      </c>
      <c r="K2259" s="539" t="s">
        <v>2299</v>
      </c>
      <c r="L2259" s="20"/>
    </row>
    <row r="2260" spans="1:13">
      <c r="A2260" s="14" t="s">
        <v>118</v>
      </c>
      <c r="D2260" s="18">
        <v>4</v>
      </c>
      <c r="E2260" s="26" t="str">
        <f>VLOOKUP($A2260,MATMO,2,FALSE)</f>
        <v>-</v>
      </c>
      <c r="F2260" s="311"/>
      <c r="G2260" s="307" t="str">
        <f>VLOOKUP($A2260,MATMO,3,FALSE)</f>
        <v>-</v>
      </c>
      <c r="H2260" s="110">
        <f>VLOOKUP($A2260,MATMO,4,FALSE)*$Q$6</f>
        <v>0</v>
      </c>
      <c r="I2260" s="543" t="str">
        <f t="shared" si="431"/>
        <v>-</v>
      </c>
      <c r="J2260" s="538">
        <f t="shared" si="430"/>
        <v>0</v>
      </c>
      <c r="K2260" s="539" t="s">
        <v>2299</v>
      </c>
      <c r="L2260" s="20"/>
    </row>
    <row r="2261" spans="1:13">
      <c r="A2261" s="14" t="s">
        <v>118</v>
      </c>
      <c r="D2261" s="18">
        <v>5</v>
      </c>
      <c r="E2261" s="26" t="str">
        <f>VLOOKUP($A2261,MATMO,2,FALSE)</f>
        <v>-</v>
      </c>
      <c r="F2261" s="311"/>
      <c r="G2261" s="307" t="str">
        <f>VLOOKUP($A2261,MATMO,3,FALSE)</f>
        <v>-</v>
      </c>
      <c r="H2261" s="110">
        <f>VLOOKUP($A2261,MATMO,4,FALSE)*$Q$6</f>
        <v>0</v>
      </c>
      <c r="I2261" s="543" t="str">
        <f t="shared" si="431"/>
        <v>-</v>
      </c>
      <c r="J2261" s="538">
        <f t="shared" si="430"/>
        <v>0</v>
      </c>
      <c r="K2261" s="539" t="s">
        <v>2299</v>
      </c>
      <c r="L2261" s="20"/>
    </row>
    <row r="2262" spans="1:13">
      <c r="A2262" s="14">
        <f>A2215+1</f>
        <v>48</v>
      </c>
      <c r="B2262" s="14" t="str">
        <f>"E" &amp; TEXT(A2262,"##000")</f>
        <v>E048</v>
      </c>
      <c r="D2262" s="18"/>
      <c r="E2262" s="591" t="s">
        <v>2300</v>
      </c>
      <c r="F2262" s="592"/>
      <c r="G2262" s="592"/>
      <c r="H2262" s="592"/>
      <c r="I2262" s="328"/>
      <c r="J2262" s="362">
        <f>SUM(J2257:J2261)</f>
        <v>681.71869319250004</v>
      </c>
      <c r="K2262" s="365" t="s">
        <v>116</v>
      </c>
      <c r="L2262" s="20"/>
    </row>
    <row r="2263" spans="1:13">
      <c r="D2263" s="18"/>
      <c r="E2263" s="596"/>
      <c r="F2263" s="597"/>
      <c r="G2263" s="597"/>
      <c r="H2263" s="597"/>
      <c r="I2263" s="597"/>
      <c r="J2263" s="598"/>
      <c r="K2263" s="348"/>
      <c r="L2263" s="20"/>
    </row>
    <row r="2264" spans="1:13">
      <c r="D2264" s="18"/>
      <c r="E2264" s="591" t="s">
        <v>2306</v>
      </c>
      <c r="F2264" s="592"/>
      <c r="G2264" s="592"/>
      <c r="H2264" s="592"/>
      <c r="I2264" s="328"/>
      <c r="J2264" s="308">
        <f>+J2262+J2255+J2248</f>
        <v>17724.686023005001</v>
      </c>
      <c r="K2264" s="365" t="str">
        <f>+F2225</f>
        <v>ud</v>
      </c>
      <c r="L2264" s="20"/>
    </row>
    <row r="2265" spans="1:13">
      <c r="D2265" s="18"/>
      <c r="E2265" s="591" t="s">
        <v>2305</v>
      </c>
      <c r="F2265" s="592"/>
      <c r="G2265" s="592"/>
      <c r="H2265" s="592"/>
      <c r="I2265" s="406">
        <f>+$Q$9</f>
        <v>1.6902999999999999</v>
      </c>
      <c r="J2265" s="308">
        <f>+$Q$9*J2264</f>
        <v>29960.036784685351</v>
      </c>
      <c r="K2265" s="365" t="str">
        <f>+F2225</f>
        <v>ud</v>
      </c>
      <c r="L2265" s="20"/>
    </row>
    <row r="2266" spans="1:13">
      <c r="A2266" s="14">
        <f>A2219+1</f>
        <v>48</v>
      </c>
      <c r="B2266" s="14" t="str">
        <f>"TR" &amp; TEXT(A2266,"##000")</f>
        <v>TR048</v>
      </c>
      <c r="C2266" s="14">
        <f>+C2219+1</f>
        <v>48</v>
      </c>
      <c r="D2266" s="18"/>
      <c r="E2266" s="591" t="s">
        <v>2304</v>
      </c>
      <c r="F2266" s="592"/>
      <c r="G2266" s="592"/>
      <c r="H2266" s="592"/>
      <c r="I2266" s="328"/>
      <c r="J2266" s="308">
        <f>+J2265</f>
        <v>29960.036784685351</v>
      </c>
      <c r="K2266" s="365" t="str">
        <f>+F2225</f>
        <v>ud</v>
      </c>
      <c r="L2266" s="20"/>
    </row>
    <row r="2267" spans="1:13" ht="16.5" thickBot="1">
      <c r="D2267" s="21"/>
      <c r="E2267" s="30"/>
      <c r="F2267" s="30"/>
      <c r="G2267" s="30"/>
      <c r="H2267" s="30"/>
      <c r="I2267" s="30"/>
      <c r="J2267" s="30"/>
      <c r="K2267" s="349"/>
      <c r="L2267" s="22"/>
    </row>
    <row r="2268" spans="1:13" ht="16.5" thickTop="1">
      <c r="D2268" s="15"/>
      <c r="E2268" s="16"/>
      <c r="F2268" s="16"/>
      <c r="G2268" s="16"/>
      <c r="H2268" s="16"/>
      <c r="I2268" s="16"/>
      <c r="J2268" s="16"/>
      <c r="K2268" s="16"/>
      <c r="L2268" s="17"/>
    </row>
    <row r="2269" spans="1:13">
      <c r="A2269" s="14" t="s">
        <v>1860</v>
      </c>
      <c r="D2269" s="18"/>
      <c r="E2269" s="23" t="s">
        <v>95</v>
      </c>
      <c r="F2269" s="364" t="str">
        <f>VLOOKUP($A2269,DATRUB,3,FALSE)</f>
        <v>RUBRO XI:</v>
      </c>
      <c r="G2269" s="599" t="str">
        <f>VLOOKUP($A2269,DATRUB,4,FALSE)</f>
        <v>CARPINTERÍA METÁLICA y HERRERÍA</v>
      </c>
      <c r="H2269" s="599"/>
      <c r="I2269" s="599"/>
      <c r="J2269" s="599"/>
      <c r="K2269" s="599"/>
      <c r="L2269" s="20"/>
    </row>
    <row r="2270" spans="1:13" ht="35.1" customHeight="1">
      <c r="A2270" s="14" t="s">
        <v>1870</v>
      </c>
      <c r="D2270" s="18"/>
      <c r="E2270" s="23" t="s">
        <v>96</v>
      </c>
      <c r="F2270" s="399">
        <f>VLOOKUP($A2270,DATRUB,3,FALSE)</f>
        <v>11.11</v>
      </c>
      <c r="G2270" s="599" t="str">
        <f>VLOOKUP($A2270,DATRUB,4,FALSE)</f>
        <v>B2: 7,87 x 0,45</v>
      </c>
      <c r="H2270" s="599"/>
      <c r="I2270" s="599"/>
      <c r="J2270" s="599"/>
      <c r="K2270" s="599"/>
      <c r="L2270" s="20"/>
    </row>
    <row r="2271" spans="1:13" ht="35.1" customHeight="1">
      <c r="A2271" s="14" t="s">
        <v>1870</v>
      </c>
      <c r="D2271" s="18"/>
      <c r="E2271" s="23" t="s">
        <v>97</v>
      </c>
      <c r="F2271" s="399">
        <f>VLOOKUP($A2271,DATRUB,3,FALSE)</f>
        <v>11.11</v>
      </c>
      <c r="G2271" s="599" t="str">
        <f>VLOOKUP($A2271,DATRUB,4,FALSE)</f>
        <v>B2: 7,87 x 0,45</v>
      </c>
      <c r="H2271" s="599"/>
      <c r="I2271" s="599"/>
      <c r="J2271" s="599"/>
      <c r="K2271" s="599"/>
      <c r="L2271" s="20"/>
    </row>
    <row r="2272" spans="1:13">
      <c r="D2272" s="18"/>
      <c r="E2272" s="23" t="s">
        <v>98</v>
      </c>
      <c r="F2272" s="364" t="str">
        <f>VLOOKUP($A2271,DATRUB,5,FALSE)</f>
        <v>ud</v>
      </c>
      <c r="G2272" s="600"/>
      <c r="H2272" s="600"/>
      <c r="I2272" s="600"/>
      <c r="J2272" s="600"/>
      <c r="K2272" s="600"/>
      <c r="L2272" s="20"/>
    </row>
    <row r="2273" spans="1:13">
      <c r="D2273" s="18"/>
      <c r="E2273" s="364" t="s">
        <v>1158</v>
      </c>
      <c r="F2273" s="363" t="s">
        <v>1250</v>
      </c>
      <c r="G2273" s="364" t="s">
        <v>24</v>
      </c>
      <c r="H2273" s="364" t="s">
        <v>25</v>
      </c>
      <c r="I2273" s="364" t="s">
        <v>24</v>
      </c>
      <c r="J2273" s="364" t="s">
        <v>2298</v>
      </c>
      <c r="K2273" s="364" t="s">
        <v>24</v>
      </c>
      <c r="L2273" s="20"/>
    </row>
    <row r="2274" spans="1:13">
      <c r="D2274" s="18"/>
      <c r="E2274" s="593" t="s">
        <v>99</v>
      </c>
      <c r="F2274" s="594"/>
      <c r="G2274" s="594"/>
      <c r="H2274" s="594"/>
      <c r="I2274" s="594"/>
      <c r="J2274" s="594"/>
      <c r="K2274" s="595"/>
      <c r="L2274" s="20"/>
    </row>
    <row r="2275" spans="1:13">
      <c r="A2275" s="14" t="s">
        <v>2397</v>
      </c>
      <c r="D2275" s="18">
        <v>1</v>
      </c>
      <c r="E2275" s="355" t="str">
        <f t="shared" ref="E2275:E2294" si="432">VLOOKUP($A2275,MATMO,2,FALSE)</f>
        <v>B2: 7,87 x 0,45</v>
      </c>
      <c r="F2275" s="356">
        <v>1</v>
      </c>
      <c r="G2275" s="357" t="str">
        <f t="shared" ref="G2275:G2294" si="433">VLOOKUP($A2275,MATMO,3,FALSE)</f>
        <v>un</v>
      </c>
      <c r="H2275" s="358">
        <f t="shared" ref="H2275:H2294" si="434">VLOOKUP($A2275,MATMO,4,FALSE)*$Q$6</f>
        <v>14878.62</v>
      </c>
      <c r="I2275" s="359" t="str">
        <f t="shared" ref="I2275:I2294" si="435">+G2275</f>
        <v>un</v>
      </c>
      <c r="J2275" s="361">
        <f>+H2275*F2275</f>
        <v>14878.62</v>
      </c>
      <c r="K2275" s="360" t="s">
        <v>2299</v>
      </c>
      <c r="L2275" s="20"/>
      <c r="M2275" s="14" t="s">
        <v>2005</v>
      </c>
    </row>
    <row r="2276" spans="1:13">
      <c r="A2276" s="14" t="s">
        <v>31</v>
      </c>
      <c r="D2276" s="18">
        <v>2</v>
      </c>
      <c r="E2276" s="26" t="str">
        <f t="shared" si="432"/>
        <v>-</v>
      </c>
      <c r="F2276" s="311"/>
      <c r="G2276" s="307" t="str">
        <f t="shared" si="433"/>
        <v>-</v>
      </c>
      <c r="H2276" s="351">
        <f t="shared" si="434"/>
        <v>0</v>
      </c>
      <c r="I2276" s="537" t="str">
        <f t="shared" si="435"/>
        <v>-</v>
      </c>
      <c r="J2276" s="538">
        <f t="shared" ref="J2276:J2294" si="436">+H2276*F2276</f>
        <v>0</v>
      </c>
      <c r="K2276" s="539" t="s">
        <v>2299</v>
      </c>
      <c r="L2276" s="20"/>
    </row>
    <row r="2277" spans="1:13">
      <c r="A2277" s="14" t="s">
        <v>31</v>
      </c>
      <c r="D2277" s="18">
        <v>3</v>
      </c>
      <c r="E2277" s="26" t="str">
        <f t="shared" si="432"/>
        <v>-</v>
      </c>
      <c r="F2277" s="311"/>
      <c r="G2277" s="307" t="str">
        <f t="shared" si="433"/>
        <v>-</v>
      </c>
      <c r="H2277" s="351">
        <f t="shared" si="434"/>
        <v>0</v>
      </c>
      <c r="I2277" s="537" t="str">
        <f t="shared" si="435"/>
        <v>-</v>
      </c>
      <c r="J2277" s="538">
        <f t="shared" si="436"/>
        <v>0</v>
      </c>
      <c r="K2277" s="539" t="s">
        <v>2299</v>
      </c>
      <c r="L2277" s="20"/>
    </row>
    <row r="2278" spans="1:13">
      <c r="A2278" s="14" t="s">
        <v>31</v>
      </c>
      <c r="D2278" s="18">
        <v>4</v>
      </c>
      <c r="E2278" s="26" t="str">
        <f t="shared" si="432"/>
        <v>-</v>
      </c>
      <c r="F2278" s="311"/>
      <c r="G2278" s="307" t="str">
        <f t="shared" si="433"/>
        <v>-</v>
      </c>
      <c r="H2278" s="351">
        <f t="shared" si="434"/>
        <v>0</v>
      </c>
      <c r="I2278" s="537" t="str">
        <f t="shared" si="435"/>
        <v>-</v>
      </c>
      <c r="J2278" s="538">
        <f t="shared" si="436"/>
        <v>0</v>
      </c>
      <c r="K2278" s="539" t="s">
        <v>2299</v>
      </c>
      <c r="L2278" s="20"/>
    </row>
    <row r="2279" spans="1:13">
      <c r="A2279" s="14" t="s">
        <v>31</v>
      </c>
      <c r="D2279" s="18">
        <v>5</v>
      </c>
      <c r="E2279" s="26" t="str">
        <f t="shared" si="432"/>
        <v>-</v>
      </c>
      <c r="F2279" s="311"/>
      <c r="G2279" s="307" t="str">
        <f t="shared" si="433"/>
        <v>-</v>
      </c>
      <c r="H2279" s="351">
        <f t="shared" si="434"/>
        <v>0</v>
      </c>
      <c r="I2279" s="537" t="str">
        <f t="shared" si="435"/>
        <v>-</v>
      </c>
      <c r="J2279" s="538">
        <f t="shared" si="436"/>
        <v>0</v>
      </c>
      <c r="K2279" s="539" t="s">
        <v>2299</v>
      </c>
      <c r="L2279" s="20"/>
    </row>
    <row r="2280" spans="1:13">
      <c r="A2280" s="14" t="s">
        <v>31</v>
      </c>
      <c r="D2280" s="18">
        <v>6</v>
      </c>
      <c r="E2280" s="26" t="str">
        <f t="shared" si="432"/>
        <v>-</v>
      </c>
      <c r="F2280" s="311"/>
      <c r="G2280" s="307" t="str">
        <f t="shared" si="433"/>
        <v>-</v>
      </c>
      <c r="H2280" s="351">
        <f t="shared" si="434"/>
        <v>0</v>
      </c>
      <c r="I2280" s="537" t="str">
        <f t="shared" si="435"/>
        <v>-</v>
      </c>
      <c r="J2280" s="538">
        <f t="shared" si="436"/>
        <v>0</v>
      </c>
      <c r="K2280" s="539" t="s">
        <v>2299</v>
      </c>
      <c r="L2280" s="20"/>
    </row>
    <row r="2281" spans="1:13">
      <c r="A2281" s="14" t="s">
        <v>31</v>
      </c>
      <c r="D2281" s="18">
        <v>7</v>
      </c>
      <c r="E2281" s="26" t="str">
        <f t="shared" si="432"/>
        <v>-</v>
      </c>
      <c r="F2281" s="311"/>
      <c r="G2281" s="307" t="str">
        <f t="shared" si="433"/>
        <v>-</v>
      </c>
      <c r="H2281" s="351">
        <f t="shared" si="434"/>
        <v>0</v>
      </c>
      <c r="I2281" s="537" t="str">
        <f t="shared" si="435"/>
        <v>-</v>
      </c>
      <c r="J2281" s="538">
        <f t="shared" si="436"/>
        <v>0</v>
      </c>
      <c r="K2281" s="539" t="s">
        <v>2299</v>
      </c>
      <c r="L2281" s="20"/>
    </row>
    <row r="2282" spans="1:13">
      <c r="A2282" s="14" t="s">
        <v>31</v>
      </c>
      <c r="D2282" s="18">
        <v>8</v>
      </c>
      <c r="E2282" s="26" t="str">
        <f t="shared" si="432"/>
        <v>-</v>
      </c>
      <c r="F2282" s="311"/>
      <c r="G2282" s="307" t="str">
        <f t="shared" si="433"/>
        <v>-</v>
      </c>
      <c r="H2282" s="351">
        <f t="shared" si="434"/>
        <v>0</v>
      </c>
      <c r="I2282" s="537" t="str">
        <f t="shared" si="435"/>
        <v>-</v>
      </c>
      <c r="J2282" s="538">
        <f t="shared" si="436"/>
        <v>0</v>
      </c>
      <c r="K2282" s="539" t="s">
        <v>2299</v>
      </c>
      <c r="L2282" s="20"/>
    </row>
    <row r="2283" spans="1:13">
      <c r="A2283" s="14" t="s">
        <v>31</v>
      </c>
      <c r="D2283" s="18">
        <v>9</v>
      </c>
      <c r="E2283" s="26" t="str">
        <f t="shared" si="432"/>
        <v>-</v>
      </c>
      <c r="F2283" s="311"/>
      <c r="G2283" s="307" t="str">
        <f t="shared" si="433"/>
        <v>-</v>
      </c>
      <c r="H2283" s="351">
        <f t="shared" si="434"/>
        <v>0</v>
      </c>
      <c r="I2283" s="537" t="str">
        <f t="shared" si="435"/>
        <v>-</v>
      </c>
      <c r="J2283" s="538">
        <f t="shared" si="436"/>
        <v>0</v>
      </c>
      <c r="K2283" s="539" t="s">
        <v>2299</v>
      </c>
      <c r="L2283" s="20"/>
    </row>
    <row r="2284" spans="1:13">
      <c r="A2284" s="14" t="s">
        <v>31</v>
      </c>
      <c r="D2284" s="18">
        <v>10</v>
      </c>
      <c r="E2284" s="26" t="str">
        <f t="shared" si="432"/>
        <v>-</v>
      </c>
      <c r="F2284" s="311"/>
      <c r="G2284" s="307" t="str">
        <f t="shared" si="433"/>
        <v>-</v>
      </c>
      <c r="H2284" s="351">
        <f t="shared" si="434"/>
        <v>0</v>
      </c>
      <c r="I2284" s="537" t="str">
        <f t="shared" si="435"/>
        <v>-</v>
      </c>
      <c r="J2284" s="538">
        <f t="shared" si="436"/>
        <v>0</v>
      </c>
      <c r="K2284" s="539" t="s">
        <v>2299</v>
      </c>
      <c r="L2284" s="20"/>
    </row>
    <row r="2285" spans="1:13">
      <c r="A2285" s="14" t="s">
        <v>31</v>
      </c>
      <c r="D2285" s="18">
        <v>11</v>
      </c>
      <c r="E2285" s="26" t="str">
        <f t="shared" si="432"/>
        <v>-</v>
      </c>
      <c r="F2285" s="311"/>
      <c r="G2285" s="307" t="str">
        <f t="shared" si="433"/>
        <v>-</v>
      </c>
      <c r="H2285" s="351">
        <f t="shared" si="434"/>
        <v>0</v>
      </c>
      <c r="I2285" s="537" t="str">
        <f t="shared" si="435"/>
        <v>-</v>
      </c>
      <c r="J2285" s="538">
        <f t="shared" si="436"/>
        <v>0</v>
      </c>
      <c r="K2285" s="539" t="s">
        <v>2299</v>
      </c>
      <c r="L2285" s="20"/>
    </row>
    <row r="2286" spans="1:13">
      <c r="A2286" s="14" t="s">
        <v>31</v>
      </c>
      <c r="D2286" s="18">
        <v>12</v>
      </c>
      <c r="E2286" s="26" t="str">
        <f t="shared" si="432"/>
        <v>-</v>
      </c>
      <c r="F2286" s="311"/>
      <c r="G2286" s="307" t="str">
        <f t="shared" si="433"/>
        <v>-</v>
      </c>
      <c r="H2286" s="352">
        <f t="shared" si="434"/>
        <v>0</v>
      </c>
      <c r="I2286" s="537" t="str">
        <f t="shared" si="435"/>
        <v>-</v>
      </c>
      <c r="J2286" s="538">
        <f t="shared" si="436"/>
        <v>0</v>
      </c>
      <c r="K2286" s="539" t="s">
        <v>2299</v>
      </c>
      <c r="L2286" s="20"/>
    </row>
    <row r="2287" spans="1:13">
      <c r="A2287" s="14" t="s">
        <v>31</v>
      </c>
      <c r="D2287" s="18">
        <v>13</v>
      </c>
      <c r="E2287" s="26" t="str">
        <f t="shared" si="432"/>
        <v>-</v>
      </c>
      <c r="F2287" s="311"/>
      <c r="G2287" s="307" t="str">
        <f t="shared" si="433"/>
        <v>-</v>
      </c>
      <c r="H2287" s="352">
        <f t="shared" si="434"/>
        <v>0</v>
      </c>
      <c r="I2287" s="537" t="str">
        <f t="shared" si="435"/>
        <v>-</v>
      </c>
      <c r="J2287" s="538">
        <f t="shared" si="436"/>
        <v>0</v>
      </c>
      <c r="K2287" s="539" t="s">
        <v>2299</v>
      </c>
      <c r="L2287" s="20"/>
    </row>
    <row r="2288" spans="1:13">
      <c r="A2288" s="14" t="s">
        <v>31</v>
      </c>
      <c r="D2288" s="18">
        <v>14</v>
      </c>
      <c r="E2288" s="26" t="str">
        <f t="shared" si="432"/>
        <v>-</v>
      </c>
      <c r="F2288" s="311"/>
      <c r="G2288" s="307" t="str">
        <f t="shared" si="433"/>
        <v>-</v>
      </c>
      <c r="H2288" s="352">
        <f t="shared" si="434"/>
        <v>0</v>
      </c>
      <c r="I2288" s="537" t="str">
        <f t="shared" si="435"/>
        <v>-</v>
      </c>
      <c r="J2288" s="538">
        <f t="shared" si="436"/>
        <v>0</v>
      </c>
      <c r="K2288" s="539" t="s">
        <v>2299</v>
      </c>
      <c r="L2288" s="20"/>
    </row>
    <row r="2289" spans="1:19">
      <c r="A2289" s="14" t="s">
        <v>31</v>
      </c>
      <c r="D2289" s="18">
        <v>15</v>
      </c>
      <c r="E2289" s="26" t="str">
        <f t="shared" si="432"/>
        <v>-</v>
      </c>
      <c r="F2289" s="311"/>
      <c r="G2289" s="307" t="str">
        <f t="shared" si="433"/>
        <v>-</v>
      </c>
      <c r="H2289" s="352">
        <f t="shared" si="434"/>
        <v>0</v>
      </c>
      <c r="I2289" s="537" t="str">
        <f t="shared" si="435"/>
        <v>-</v>
      </c>
      <c r="J2289" s="538">
        <f t="shared" si="436"/>
        <v>0</v>
      </c>
      <c r="K2289" s="539" t="s">
        <v>2299</v>
      </c>
      <c r="L2289" s="20"/>
    </row>
    <row r="2290" spans="1:19">
      <c r="A2290" s="14" t="s">
        <v>31</v>
      </c>
      <c r="D2290" s="18">
        <v>16</v>
      </c>
      <c r="E2290" s="26" t="str">
        <f t="shared" si="432"/>
        <v>-</v>
      </c>
      <c r="F2290" s="311"/>
      <c r="G2290" s="307" t="str">
        <f t="shared" si="433"/>
        <v>-</v>
      </c>
      <c r="H2290" s="352">
        <f t="shared" si="434"/>
        <v>0</v>
      </c>
      <c r="I2290" s="537" t="str">
        <f t="shared" si="435"/>
        <v>-</v>
      </c>
      <c r="J2290" s="538">
        <f t="shared" si="436"/>
        <v>0</v>
      </c>
      <c r="K2290" s="539" t="s">
        <v>2299</v>
      </c>
      <c r="L2290" s="20"/>
    </row>
    <row r="2291" spans="1:19">
      <c r="A2291" s="14" t="s">
        <v>31</v>
      </c>
      <c r="D2291" s="18">
        <v>17</v>
      </c>
      <c r="E2291" s="26" t="str">
        <f t="shared" si="432"/>
        <v>-</v>
      </c>
      <c r="F2291" s="311"/>
      <c r="G2291" s="307" t="str">
        <f t="shared" si="433"/>
        <v>-</v>
      </c>
      <c r="H2291" s="352">
        <f t="shared" si="434"/>
        <v>0</v>
      </c>
      <c r="I2291" s="537" t="str">
        <f t="shared" si="435"/>
        <v>-</v>
      </c>
      <c r="J2291" s="538">
        <f t="shared" si="436"/>
        <v>0</v>
      </c>
      <c r="K2291" s="539" t="s">
        <v>2299</v>
      </c>
      <c r="L2291" s="20"/>
    </row>
    <row r="2292" spans="1:19">
      <c r="A2292" s="14" t="s">
        <v>31</v>
      </c>
      <c r="D2292" s="18">
        <v>18</v>
      </c>
      <c r="E2292" s="26" t="str">
        <f t="shared" si="432"/>
        <v>-</v>
      </c>
      <c r="F2292" s="311"/>
      <c r="G2292" s="307" t="str">
        <f t="shared" si="433"/>
        <v>-</v>
      </c>
      <c r="H2292" s="352">
        <f t="shared" si="434"/>
        <v>0</v>
      </c>
      <c r="I2292" s="537" t="str">
        <f t="shared" si="435"/>
        <v>-</v>
      </c>
      <c r="J2292" s="538">
        <f t="shared" si="436"/>
        <v>0</v>
      </c>
      <c r="K2292" s="539" t="s">
        <v>2299</v>
      </c>
      <c r="L2292" s="20"/>
    </row>
    <row r="2293" spans="1:19">
      <c r="A2293" s="14" t="s">
        <v>31</v>
      </c>
      <c r="D2293" s="18">
        <v>19</v>
      </c>
      <c r="E2293" s="26" t="str">
        <f t="shared" si="432"/>
        <v>-</v>
      </c>
      <c r="F2293" s="311"/>
      <c r="G2293" s="307" t="str">
        <f t="shared" si="433"/>
        <v>-</v>
      </c>
      <c r="H2293" s="352">
        <f t="shared" si="434"/>
        <v>0</v>
      </c>
      <c r="I2293" s="537" t="str">
        <f t="shared" si="435"/>
        <v>-</v>
      </c>
      <c r="J2293" s="538">
        <f t="shared" si="436"/>
        <v>0</v>
      </c>
      <c r="K2293" s="539" t="s">
        <v>2299</v>
      </c>
      <c r="L2293" s="20"/>
    </row>
    <row r="2294" spans="1:19">
      <c r="A2294" s="14" t="s">
        <v>31</v>
      </c>
      <c r="D2294" s="18">
        <v>20</v>
      </c>
      <c r="E2294" s="26" t="str">
        <f t="shared" si="432"/>
        <v>-</v>
      </c>
      <c r="F2294" s="311"/>
      <c r="G2294" s="307" t="str">
        <f t="shared" si="433"/>
        <v>-</v>
      </c>
      <c r="H2294" s="352">
        <f t="shared" si="434"/>
        <v>0</v>
      </c>
      <c r="I2294" s="537" t="str">
        <f t="shared" si="435"/>
        <v>-</v>
      </c>
      <c r="J2294" s="541">
        <f t="shared" si="436"/>
        <v>0</v>
      </c>
      <c r="K2294" s="539" t="s">
        <v>2299</v>
      </c>
      <c r="L2294" s="20"/>
    </row>
    <row r="2295" spans="1:19">
      <c r="A2295" s="14">
        <f>A2262+1</f>
        <v>49</v>
      </c>
      <c r="B2295" s="14" t="str">
        <f>"MA" &amp; TEXT(A2295,"##000")</f>
        <v>MA049</v>
      </c>
      <c r="D2295" s="18"/>
      <c r="E2295" s="591" t="s">
        <v>2302</v>
      </c>
      <c r="F2295" s="592"/>
      <c r="G2295" s="592"/>
      <c r="H2295" s="592"/>
      <c r="I2295" s="328"/>
      <c r="J2295" s="353">
        <f>SUM(J2275:J2294)</f>
        <v>14878.62</v>
      </c>
      <c r="K2295" s="365" t="str">
        <f>+F2272</f>
        <v>ud</v>
      </c>
      <c r="L2295" s="20"/>
      <c r="O2295" s="27" t="s">
        <v>1525</v>
      </c>
      <c r="P2295" s="110">
        <v>0</v>
      </c>
    </row>
    <row r="2296" spans="1:19">
      <c r="D2296" s="18"/>
      <c r="E2296" s="593" t="s">
        <v>100</v>
      </c>
      <c r="F2296" s="594"/>
      <c r="G2296" s="594"/>
      <c r="H2296" s="594"/>
      <c r="I2296" s="594"/>
      <c r="J2296" s="595"/>
      <c r="K2296" s="347"/>
      <c r="L2296" s="20"/>
      <c r="O2296" s="27" t="s">
        <v>1524</v>
      </c>
      <c r="P2296" s="110">
        <v>0</v>
      </c>
    </row>
    <row r="2297" spans="1:19">
      <c r="A2297" s="14" t="s">
        <v>84</v>
      </c>
      <c r="D2297" s="18">
        <v>1</v>
      </c>
      <c r="E2297" s="26" t="str">
        <f>VLOOKUP($A2297,MATMO,2,FALSE)</f>
        <v>Oficial</v>
      </c>
      <c r="F2297" s="311">
        <v>0.15</v>
      </c>
      <c r="G2297" s="307" t="str">
        <f>VLOOKUP($A2297,MATMO,3,FALSE)</f>
        <v>hs</v>
      </c>
      <c r="H2297" s="110">
        <f>VLOOKUP($A2297,MATMO,4,FALSE)*$Q$7</f>
        <v>55.38</v>
      </c>
      <c r="I2297" s="354" t="str">
        <f t="shared" ref="I2297:I2301" si="437">+G2297</f>
        <v>hs</v>
      </c>
      <c r="J2297" s="350">
        <f t="shared" ref="J2297:J2301" si="438">+H2297*F2297</f>
        <v>8.3070000000000004</v>
      </c>
      <c r="K2297" s="360" t="s">
        <v>2299</v>
      </c>
      <c r="L2297" s="20"/>
      <c r="M2297" s="14" t="s">
        <v>2006</v>
      </c>
      <c r="O2297" s="27" t="s">
        <v>1526</v>
      </c>
      <c r="P2297" s="110">
        <v>0</v>
      </c>
    </row>
    <row r="2298" spans="1:19">
      <c r="A2298" s="14" t="s">
        <v>85</v>
      </c>
      <c r="D2298" s="18">
        <v>2</v>
      </c>
      <c r="E2298" s="26" t="str">
        <f>VLOOKUP($A2298,MATMO,2,FALSE)</f>
        <v>Ayudante</v>
      </c>
      <c r="F2298" s="311">
        <v>0.05</v>
      </c>
      <c r="G2298" s="307" t="str">
        <f>VLOOKUP($A2298,MATMO,3,FALSE)</f>
        <v>hs</v>
      </c>
      <c r="H2298" s="110">
        <f>VLOOKUP($A2298,MATMO,4,FALSE)*$Q$7</f>
        <v>46.87</v>
      </c>
      <c r="I2298" s="354" t="str">
        <f t="shared" si="437"/>
        <v>hs</v>
      </c>
      <c r="J2298" s="350">
        <f t="shared" si="438"/>
        <v>2.3435000000000001</v>
      </c>
      <c r="K2298" s="360" t="s">
        <v>2299</v>
      </c>
      <c r="L2298" s="20"/>
      <c r="O2298" s="27" t="s">
        <v>1527</v>
      </c>
      <c r="P2298" s="110">
        <v>0</v>
      </c>
    </row>
    <row r="2299" spans="1:19">
      <c r="A2299" s="14" t="s">
        <v>2311</v>
      </c>
      <c r="D2299" s="18">
        <v>3</v>
      </c>
      <c r="E2299" s="26" t="str">
        <f>VLOOKUP($A2299,MATMO,2,FALSE)</f>
        <v>Cargas Sociales Oficial</v>
      </c>
      <c r="F2299" s="311">
        <f>+F2297</f>
        <v>0.15</v>
      </c>
      <c r="G2299" s="307" t="str">
        <f>VLOOKUP($A2299,MATMO,3,FALSE)</f>
        <v>hs</v>
      </c>
      <c r="H2299" s="110">
        <f>VLOOKUP($A2299,MATMO,4,FALSE)*$Q$7</f>
        <v>52.742782499999997</v>
      </c>
      <c r="I2299" s="354" t="str">
        <f t="shared" si="437"/>
        <v>hs</v>
      </c>
      <c r="J2299" s="350">
        <f t="shared" si="438"/>
        <v>7.9114173749999992</v>
      </c>
      <c r="K2299" s="360" t="s">
        <v>2299</v>
      </c>
      <c r="L2299" s="20"/>
      <c r="O2299" s="27"/>
      <c r="P2299" s="110">
        <v>0</v>
      </c>
    </row>
    <row r="2300" spans="1:19">
      <c r="A2300" s="14" t="s">
        <v>2312</v>
      </c>
      <c r="D2300" s="18">
        <v>4</v>
      </c>
      <c r="E2300" s="26" t="str">
        <f>VLOOKUP($A2300,MATMO,2,FALSE)</f>
        <v>Cargas Sociales Ayudante</v>
      </c>
      <c r="F2300" s="311">
        <f>+F2298</f>
        <v>0.05</v>
      </c>
      <c r="G2300" s="307" t="str">
        <f>VLOOKUP($A2300,MATMO,3,FALSE)</f>
        <v>hs</v>
      </c>
      <c r="H2300" s="110">
        <f>VLOOKUP($A2300,MATMO,4,FALSE)*$Q$7</f>
        <v>45.108248750000001</v>
      </c>
      <c r="I2300" s="354" t="str">
        <f t="shared" si="437"/>
        <v>hs</v>
      </c>
      <c r="J2300" s="350">
        <f t="shared" si="438"/>
        <v>2.2554124375</v>
      </c>
      <c r="K2300" s="360" t="s">
        <v>2299</v>
      </c>
      <c r="L2300" s="20"/>
      <c r="O2300" s="27"/>
      <c r="P2300" s="110">
        <v>0</v>
      </c>
    </row>
    <row r="2301" spans="1:19" ht="16.5" thickBot="1">
      <c r="A2301" s="14" t="s">
        <v>83</v>
      </c>
      <c r="D2301" s="18">
        <v>5</v>
      </c>
      <c r="E2301" s="26" t="str">
        <f>VLOOKUP($A2301,MATMO,2,FALSE)</f>
        <v>-</v>
      </c>
      <c r="F2301" s="311"/>
      <c r="G2301" s="307" t="str">
        <f>VLOOKUP($A2301,MATMO,3,FALSE)</f>
        <v>-</v>
      </c>
      <c r="H2301" s="110">
        <f>VLOOKUP($A2301,MATMO,4,FALSE)*$Q$7</f>
        <v>0</v>
      </c>
      <c r="I2301" s="537" t="str">
        <f t="shared" si="437"/>
        <v>-</v>
      </c>
      <c r="J2301" s="538">
        <f t="shared" si="438"/>
        <v>0</v>
      </c>
      <c r="K2301" s="539" t="s">
        <v>2299</v>
      </c>
      <c r="L2301" s="20"/>
      <c r="O2301" s="27"/>
      <c r="P2301" s="110">
        <v>0</v>
      </c>
      <c r="R2301" s="29" t="s">
        <v>2307</v>
      </c>
    </row>
    <row r="2302" spans="1:19" ht="16.5" thickBot="1">
      <c r="A2302" s="14">
        <f>A2262+1</f>
        <v>49</v>
      </c>
      <c r="B2302" s="14" t="str">
        <f>"MO" &amp; TEXT(A2302,"##000")</f>
        <v>MO049</v>
      </c>
      <c r="D2302" s="18"/>
      <c r="E2302" s="591" t="s">
        <v>2301</v>
      </c>
      <c r="F2302" s="592"/>
      <c r="G2302" s="592"/>
      <c r="H2302" s="592"/>
      <c r="I2302" s="328"/>
      <c r="J2302" s="362">
        <f>SUM(J2297:J2301)</f>
        <v>20.817329812499999</v>
      </c>
      <c r="K2302" s="365" t="str">
        <f>+G2297</f>
        <v>hs</v>
      </c>
      <c r="L2302" s="20"/>
      <c r="N2302" s="111">
        <f>+P2302+R2302</f>
        <v>0</v>
      </c>
      <c r="O2302" s="27"/>
      <c r="P2302" s="27">
        <f>SUM(P2295:P2301)</f>
        <v>0</v>
      </c>
      <c r="Q2302" s="26">
        <v>0.9</v>
      </c>
      <c r="R2302" s="287">
        <f>+Q2302*P2302</f>
        <v>0</v>
      </c>
      <c r="S2302" s="288"/>
    </row>
    <row r="2303" spans="1:19">
      <c r="D2303" s="18"/>
      <c r="E2303" s="593" t="s">
        <v>101</v>
      </c>
      <c r="F2303" s="594"/>
      <c r="G2303" s="594"/>
      <c r="H2303" s="594"/>
      <c r="I2303" s="594"/>
      <c r="J2303" s="595"/>
      <c r="K2303" s="347"/>
      <c r="L2303" s="20"/>
      <c r="P2303" s="14" t="s">
        <v>2308</v>
      </c>
    </row>
    <row r="2304" spans="1:19">
      <c r="A2304" s="14" t="s">
        <v>119</v>
      </c>
      <c r="D2304" s="18">
        <v>1</v>
      </c>
      <c r="E2304" s="26" t="str">
        <f>VLOOKUP($A2304,MATMO,2,FALSE)</f>
        <v>Herramientas de Mano</v>
      </c>
      <c r="F2304" s="311">
        <v>1</v>
      </c>
      <c r="G2304" s="307" t="str">
        <f>VLOOKUP($A2304,MATMO,3,FALSE)</f>
        <v>gl</v>
      </c>
      <c r="H2304" s="110">
        <f>+(J2295+J2302)*$Q$5</f>
        <v>595.97749319250011</v>
      </c>
      <c r="I2304" s="345" t="str">
        <f>+G2304</f>
        <v>gl</v>
      </c>
      <c r="J2304" s="350">
        <f t="shared" ref="J2304:J2308" si="439">+H2304*F2304</f>
        <v>595.97749319250011</v>
      </c>
      <c r="K2304" s="360" t="s">
        <v>2299</v>
      </c>
      <c r="L2304" s="20"/>
      <c r="M2304" s="14" t="s">
        <v>2004</v>
      </c>
    </row>
    <row r="2305" spans="1:12">
      <c r="A2305" s="14" t="s">
        <v>118</v>
      </c>
      <c r="D2305" s="18">
        <v>2</v>
      </c>
      <c r="E2305" s="26" t="str">
        <f>VLOOKUP($A2305,MATMO,2,FALSE)</f>
        <v>-</v>
      </c>
      <c r="F2305" s="311"/>
      <c r="G2305" s="307" t="str">
        <f>VLOOKUP($A2305,MATMO,3,FALSE)</f>
        <v>-</v>
      </c>
      <c r="H2305" s="110">
        <f>VLOOKUP($A2305,MATMO,4,FALSE)*$Q$6</f>
        <v>0</v>
      </c>
      <c r="I2305" s="543" t="str">
        <f t="shared" ref="I2305:I2308" si="440">+G2305</f>
        <v>-</v>
      </c>
      <c r="J2305" s="538">
        <f t="shared" si="439"/>
        <v>0</v>
      </c>
      <c r="K2305" s="539" t="s">
        <v>2299</v>
      </c>
      <c r="L2305" s="20"/>
    </row>
    <row r="2306" spans="1:12">
      <c r="A2306" s="14" t="s">
        <v>118</v>
      </c>
      <c r="D2306" s="18">
        <v>3</v>
      </c>
      <c r="E2306" s="26" t="str">
        <f>VLOOKUP($A2306,MATMO,2,FALSE)</f>
        <v>-</v>
      </c>
      <c r="F2306" s="311"/>
      <c r="G2306" s="307" t="str">
        <f>VLOOKUP($A2306,MATMO,3,FALSE)</f>
        <v>-</v>
      </c>
      <c r="H2306" s="110">
        <f>VLOOKUP($A2306,MATMO,4,FALSE)*$Q$6</f>
        <v>0</v>
      </c>
      <c r="I2306" s="543" t="str">
        <f t="shared" si="440"/>
        <v>-</v>
      </c>
      <c r="J2306" s="538">
        <f t="shared" si="439"/>
        <v>0</v>
      </c>
      <c r="K2306" s="539" t="s">
        <v>2299</v>
      </c>
      <c r="L2306" s="20"/>
    </row>
    <row r="2307" spans="1:12">
      <c r="A2307" s="14" t="s">
        <v>118</v>
      </c>
      <c r="D2307" s="18">
        <v>4</v>
      </c>
      <c r="E2307" s="26" t="str">
        <f>VLOOKUP($A2307,MATMO,2,FALSE)</f>
        <v>-</v>
      </c>
      <c r="F2307" s="311"/>
      <c r="G2307" s="307" t="str">
        <f>VLOOKUP($A2307,MATMO,3,FALSE)</f>
        <v>-</v>
      </c>
      <c r="H2307" s="110">
        <f>VLOOKUP($A2307,MATMO,4,FALSE)*$Q$6</f>
        <v>0</v>
      </c>
      <c r="I2307" s="543" t="str">
        <f t="shared" si="440"/>
        <v>-</v>
      </c>
      <c r="J2307" s="538">
        <f t="shared" si="439"/>
        <v>0</v>
      </c>
      <c r="K2307" s="539" t="s">
        <v>2299</v>
      </c>
      <c r="L2307" s="20"/>
    </row>
    <row r="2308" spans="1:12">
      <c r="A2308" s="14" t="s">
        <v>118</v>
      </c>
      <c r="D2308" s="18">
        <v>5</v>
      </c>
      <c r="E2308" s="26" t="str">
        <f>VLOOKUP($A2308,MATMO,2,FALSE)</f>
        <v>-</v>
      </c>
      <c r="F2308" s="311"/>
      <c r="G2308" s="307" t="str">
        <f>VLOOKUP($A2308,MATMO,3,FALSE)</f>
        <v>-</v>
      </c>
      <c r="H2308" s="110">
        <f>VLOOKUP($A2308,MATMO,4,FALSE)*$Q$6</f>
        <v>0</v>
      </c>
      <c r="I2308" s="543" t="str">
        <f t="shared" si="440"/>
        <v>-</v>
      </c>
      <c r="J2308" s="538">
        <f t="shared" si="439"/>
        <v>0</v>
      </c>
      <c r="K2308" s="539" t="s">
        <v>2299</v>
      </c>
      <c r="L2308" s="20"/>
    </row>
    <row r="2309" spans="1:12">
      <c r="A2309" s="14">
        <f>A2262+1</f>
        <v>49</v>
      </c>
      <c r="B2309" s="14" t="str">
        <f>"E" &amp; TEXT(A2309,"##000")</f>
        <v>E049</v>
      </c>
      <c r="D2309" s="18"/>
      <c r="E2309" s="591" t="s">
        <v>2300</v>
      </c>
      <c r="F2309" s="592"/>
      <c r="G2309" s="592"/>
      <c r="H2309" s="592"/>
      <c r="I2309" s="328"/>
      <c r="J2309" s="362">
        <f>SUM(J2304:J2308)</f>
        <v>595.97749319250011</v>
      </c>
      <c r="K2309" s="365" t="s">
        <v>116</v>
      </c>
      <c r="L2309" s="20"/>
    </row>
    <row r="2310" spans="1:12">
      <c r="D2310" s="18"/>
      <c r="E2310" s="596"/>
      <c r="F2310" s="597"/>
      <c r="G2310" s="597"/>
      <c r="H2310" s="597"/>
      <c r="I2310" s="597"/>
      <c r="J2310" s="598"/>
      <c r="K2310" s="348"/>
      <c r="L2310" s="20"/>
    </row>
    <row r="2311" spans="1:12">
      <c r="D2311" s="18"/>
      <c r="E2311" s="591" t="s">
        <v>2306</v>
      </c>
      <c r="F2311" s="592"/>
      <c r="G2311" s="592"/>
      <c r="H2311" s="592"/>
      <c r="I2311" s="328"/>
      <c r="J2311" s="308">
        <f>+J2309+J2302+J2295</f>
        <v>15495.414823005001</v>
      </c>
      <c r="K2311" s="365" t="str">
        <f>+F2272</f>
        <v>ud</v>
      </c>
      <c r="L2311" s="20"/>
    </row>
    <row r="2312" spans="1:12">
      <c r="D2312" s="18"/>
      <c r="E2312" s="591" t="s">
        <v>2305</v>
      </c>
      <c r="F2312" s="592"/>
      <c r="G2312" s="592"/>
      <c r="H2312" s="592"/>
      <c r="I2312" s="406">
        <f>+$Q$9</f>
        <v>1.6902999999999999</v>
      </c>
      <c r="J2312" s="308">
        <f>+$Q$9*J2311</f>
        <v>26191.899675325352</v>
      </c>
      <c r="K2312" s="365" t="str">
        <f>+F2272</f>
        <v>ud</v>
      </c>
      <c r="L2312" s="20"/>
    </row>
    <row r="2313" spans="1:12">
      <c r="A2313" s="14">
        <f>A2266+1</f>
        <v>49</v>
      </c>
      <c r="B2313" s="14" t="str">
        <f>"TR" &amp; TEXT(A2313,"##000")</f>
        <v>TR049</v>
      </c>
      <c r="C2313" s="14">
        <f>+C2266+1</f>
        <v>49</v>
      </c>
      <c r="D2313" s="18"/>
      <c r="E2313" s="591" t="s">
        <v>2304</v>
      </c>
      <c r="F2313" s="592"/>
      <c r="G2313" s="592"/>
      <c r="H2313" s="592"/>
      <c r="I2313" s="328"/>
      <c r="J2313" s="308">
        <f>+J2312</f>
        <v>26191.899675325352</v>
      </c>
      <c r="K2313" s="365" t="str">
        <f>+F2272</f>
        <v>ud</v>
      </c>
      <c r="L2313" s="20"/>
    </row>
    <row r="2314" spans="1:12" ht="16.5" thickBot="1">
      <c r="D2314" s="21"/>
      <c r="E2314" s="30"/>
      <c r="F2314" s="30"/>
      <c r="G2314" s="30"/>
      <c r="H2314" s="30"/>
      <c r="I2314" s="30"/>
      <c r="J2314" s="30"/>
      <c r="K2314" s="349"/>
      <c r="L2314" s="22"/>
    </row>
    <row r="2315" spans="1:12" ht="16.5" thickTop="1">
      <c r="D2315" s="15"/>
      <c r="E2315" s="16"/>
      <c r="F2315" s="16"/>
      <c r="G2315" s="16"/>
      <c r="H2315" s="16"/>
      <c r="I2315" s="16"/>
      <c r="J2315" s="16"/>
      <c r="K2315" s="16"/>
      <c r="L2315" s="17"/>
    </row>
    <row r="2316" spans="1:12">
      <c r="A2316" s="14" t="s">
        <v>1860</v>
      </c>
      <c r="D2316" s="18"/>
      <c r="E2316" s="23" t="s">
        <v>95</v>
      </c>
      <c r="F2316" s="364" t="str">
        <f>VLOOKUP($A2316,DATRUB,3,FALSE)</f>
        <v>RUBRO XI:</v>
      </c>
      <c r="G2316" s="599" t="str">
        <f>VLOOKUP($A2316,DATRUB,4,FALSE)</f>
        <v>CARPINTERÍA METÁLICA y HERRERÍA</v>
      </c>
      <c r="H2316" s="599"/>
      <c r="I2316" s="599"/>
      <c r="J2316" s="599"/>
      <c r="K2316" s="599"/>
      <c r="L2316" s="20"/>
    </row>
    <row r="2317" spans="1:12" ht="35.1" customHeight="1">
      <c r="A2317" s="14" t="s">
        <v>1878</v>
      </c>
      <c r="D2317" s="18"/>
      <c r="E2317" s="23" t="s">
        <v>96</v>
      </c>
      <c r="F2317" s="399">
        <f>VLOOKUP($A2317,DATRUB,3,FALSE)</f>
        <v>11.12</v>
      </c>
      <c r="G2317" s="599" t="str">
        <f>VLOOKUP($A2317,DATRUB,4,FALSE)</f>
        <v>Estructura metalica para pergola</v>
      </c>
      <c r="H2317" s="599"/>
      <c r="I2317" s="599"/>
      <c r="J2317" s="599"/>
      <c r="K2317" s="599"/>
      <c r="L2317" s="20"/>
    </row>
    <row r="2318" spans="1:12" ht="35.1" customHeight="1">
      <c r="A2318" s="14" t="s">
        <v>1878</v>
      </c>
      <c r="D2318" s="18"/>
      <c r="E2318" s="23" t="s">
        <v>97</v>
      </c>
      <c r="F2318" s="399">
        <f>VLOOKUP($A2318,DATRUB,3,FALSE)</f>
        <v>11.12</v>
      </c>
      <c r="G2318" s="599" t="str">
        <f>VLOOKUP($A2318,DATRUB,4,FALSE)</f>
        <v>Estructura metalica para pergola</v>
      </c>
      <c r="H2318" s="599"/>
      <c r="I2318" s="599"/>
      <c r="J2318" s="599"/>
      <c r="K2318" s="599"/>
      <c r="L2318" s="20"/>
    </row>
    <row r="2319" spans="1:12">
      <c r="D2319" s="18"/>
      <c r="E2319" s="23" t="s">
        <v>98</v>
      </c>
      <c r="F2319" s="364" t="str">
        <f>VLOOKUP($A2318,DATRUB,5,FALSE)</f>
        <v>m2</v>
      </c>
      <c r="G2319" s="600"/>
      <c r="H2319" s="600"/>
      <c r="I2319" s="600"/>
      <c r="J2319" s="600"/>
      <c r="K2319" s="600"/>
      <c r="L2319" s="20"/>
    </row>
    <row r="2320" spans="1:12">
      <c r="D2320" s="18"/>
      <c r="E2320" s="364" t="s">
        <v>1158</v>
      </c>
      <c r="F2320" s="363" t="s">
        <v>1250</v>
      </c>
      <c r="G2320" s="364" t="s">
        <v>24</v>
      </c>
      <c r="H2320" s="364" t="s">
        <v>25</v>
      </c>
      <c r="I2320" s="364" t="s">
        <v>24</v>
      </c>
      <c r="J2320" s="364" t="s">
        <v>2298</v>
      </c>
      <c r="K2320" s="364" t="s">
        <v>24</v>
      </c>
      <c r="L2320" s="20"/>
    </row>
    <row r="2321" spans="1:13">
      <c r="D2321" s="18"/>
      <c r="E2321" s="593" t="s">
        <v>99</v>
      </c>
      <c r="F2321" s="594"/>
      <c r="G2321" s="594"/>
      <c r="H2321" s="594"/>
      <c r="I2321" s="594"/>
      <c r="J2321" s="594"/>
      <c r="K2321" s="595"/>
      <c r="L2321" s="20"/>
    </row>
    <row r="2322" spans="1:13">
      <c r="A2322" s="14" t="s">
        <v>2514</v>
      </c>
      <c r="D2322" s="18">
        <v>1</v>
      </c>
      <c r="E2322" s="355" t="str">
        <f t="shared" ref="E2322:E2341" si="441">VLOOKUP($A2322,MATMO,2,FALSE)</f>
        <v>Caño Normalizado</v>
      </c>
      <c r="F2322" s="356">
        <v>18.899999999999999</v>
      </c>
      <c r="G2322" s="357" t="str">
        <f t="shared" ref="G2322:G2341" si="442">VLOOKUP($A2322,MATMO,3,FALSE)</f>
        <v>kg</v>
      </c>
      <c r="H2322" s="358">
        <f t="shared" ref="H2322:H2341" si="443">VLOOKUP($A2322,MATMO,4,FALSE)*$Q$6</f>
        <v>22</v>
      </c>
      <c r="I2322" s="359" t="str">
        <f t="shared" ref="I2322:I2341" si="444">+G2322</f>
        <v>kg</v>
      </c>
      <c r="J2322" s="361">
        <f>+H2322*F2322</f>
        <v>415.79999999999995</v>
      </c>
      <c r="K2322" s="360" t="s">
        <v>2299</v>
      </c>
      <c r="L2322" s="20"/>
      <c r="M2322" s="14" t="s">
        <v>2005</v>
      </c>
    </row>
    <row r="2323" spans="1:13">
      <c r="A2323" s="14" t="s">
        <v>2445</v>
      </c>
      <c r="D2323" s="18">
        <v>2</v>
      </c>
      <c r="E2323" s="26" t="str">
        <f t="shared" si="441"/>
        <v xml:space="preserve">Pintura Accesorios </v>
      </c>
      <c r="F2323" s="311">
        <v>2</v>
      </c>
      <c r="G2323" s="307" t="str">
        <f t="shared" si="442"/>
        <v>gl</v>
      </c>
      <c r="H2323" s="351">
        <f t="shared" si="443"/>
        <v>10</v>
      </c>
      <c r="I2323" s="354" t="str">
        <f t="shared" si="444"/>
        <v>gl</v>
      </c>
      <c r="J2323" s="350">
        <f t="shared" ref="J2323:J2341" si="445">+H2323*F2323</f>
        <v>20</v>
      </c>
      <c r="K2323" s="360" t="s">
        <v>2299</v>
      </c>
      <c r="L2323" s="20"/>
    </row>
    <row r="2324" spans="1:13">
      <c r="A2324" s="14" t="s">
        <v>31</v>
      </c>
      <c r="D2324" s="18">
        <v>3</v>
      </c>
      <c r="E2324" s="26" t="str">
        <f t="shared" si="441"/>
        <v>-</v>
      </c>
      <c r="F2324" s="311"/>
      <c r="G2324" s="307" t="str">
        <f t="shared" si="442"/>
        <v>-</v>
      </c>
      <c r="H2324" s="351">
        <f t="shared" si="443"/>
        <v>0</v>
      </c>
      <c r="I2324" s="537" t="str">
        <f t="shared" si="444"/>
        <v>-</v>
      </c>
      <c r="J2324" s="538">
        <f t="shared" si="445"/>
        <v>0</v>
      </c>
      <c r="K2324" s="539" t="s">
        <v>2299</v>
      </c>
      <c r="L2324" s="20"/>
    </row>
    <row r="2325" spans="1:13">
      <c r="A2325" s="14" t="s">
        <v>31</v>
      </c>
      <c r="D2325" s="18">
        <v>4</v>
      </c>
      <c r="E2325" s="26" t="str">
        <f t="shared" si="441"/>
        <v>-</v>
      </c>
      <c r="F2325" s="311"/>
      <c r="G2325" s="307" t="str">
        <f t="shared" si="442"/>
        <v>-</v>
      </c>
      <c r="H2325" s="351">
        <f t="shared" si="443"/>
        <v>0</v>
      </c>
      <c r="I2325" s="537" t="str">
        <f t="shared" si="444"/>
        <v>-</v>
      </c>
      <c r="J2325" s="538">
        <f t="shared" si="445"/>
        <v>0</v>
      </c>
      <c r="K2325" s="539" t="s">
        <v>2299</v>
      </c>
      <c r="L2325" s="20"/>
    </row>
    <row r="2326" spans="1:13">
      <c r="A2326" s="14" t="s">
        <v>31</v>
      </c>
      <c r="D2326" s="18">
        <v>5</v>
      </c>
      <c r="E2326" s="26" t="str">
        <f t="shared" si="441"/>
        <v>-</v>
      </c>
      <c r="F2326" s="311"/>
      <c r="G2326" s="307" t="str">
        <f t="shared" si="442"/>
        <v>-</v>
      </c>
      <c r="H2326" s="351">
        <f t="shared" si="443"/>
        <v>0</v>
      </c>
      <c r="I2326" s="537" t="str">
        <f t="shared" si="444"/>
        <v>-</v>
      </c>
      <c r="J2326" s="538">
        <f t="shared" si="445"/>
        <v>0</v>
      </c>
      <c r="K2326" s="539" t="s">
        <v>2299</v>
      </c>
      <c r="L2326" s="20"/>
    </row>
    <row r="2327" spans="1:13">
      <c r="A2327" s="14" t="s">
        <v>31</v>
      </c>
      <c r="D2327" s="18">
        <v>6</v>
      </c>
      <c r="E2327" s="26" t="str">
        <f t="shared" si="441"/>
        <v>-</v>
      </c>
      <c r="F2327" s="311"/>
      <c r="G2327" s="307" t="str">
        <f t="shared" si="442"/>
        <v>-</v>
      </c>
      <c r="H2327" s="351">
        <f t="shared" si="443"/>
        <v>0</v>
      </c>
      <c r="I2327" s="537" t="str">
        <f t="shared" si="444"/>
        <v>-</v>
      </c>
      <c r="J2327" s="538">
        <f t="shared" si="445"/>
        <v>0</v>
      </c>
      <c r="K2327" s="539" t="s">
        <v>2299</v>
      </c>
      <c r="L2327" s="20"/>
    </row>
    <row r="2328" spans="1:13">
      <c r="A2328" s="14" t="s">
        <v>31</v>
      </c>
      <c r="D2328" s="18">
        <v>7</v>
      </c>
      <c r="E2328" s="26" t="str">
        <f t="shared" si="441"/>
        <v>-</v>
      </c>
      <c r="F2328" s="311"/>
      <c r="G2328" s="307" t="str">
        <f t="shared" si="442"/>
        <v>-</v>
      </c>
      <c r="H2328" s="351">
        <f t="shared" si="443"/>
        <v>0</v>
      </c>
      <c r="I2328" s="537" t="str">
        <f t="shared" si="444"/>
        <v>-</v>
      </c>
      <c r="J2328" s="538">
        <f t="shared" si="445"/>
        <v>0</v>
      </c>
      <c r="K2328" s="539" t="s">
        <v>2299</v>
      </c>
      <c r="L2328" s="20"/>
    </row>
    <row r="2329" spans="1:13">
      <c r="A2329" s="14" t="s">
        <v>31</v>
      </c>
      <c r="D2329" s="18">
        <v>8</v>
      </c>
      <c r="E2329" s="26" t="str">
        <f t="shared" si="441"/>
        <v>-</v>
      </c>
      <c r="F2329" s="311"/>
      <c r="G2329" s="307" t="str">
        <f t="shared" si="442"/>
        <v>-</v>
      </c>
      <c r="H2329" s="351">
        <f t="shared" si="443"/>
        <v>0</v>
      </c>
      <c r="I2329" s="537" t="str">
        <f t="shared" si="444"/>
        <v>-</v>
      </c>
      <c r="J2329" s="538">
        <f t="shared" si="445"/>
        <v>0</v>
      </c>
      <c r="K2329" s="539" t="s">
        <v>2299</v>
      </c>
      <c r="L2329" s="20"/>
    </row>
    <row r="2330" spans="1:13">
      <c r="A2330" s="14" t="s">
        <v>31</v>
      </c>
      <c r="D2330" s="18">
        <v>9</v>
      </c>
      <c r="E2330" s="26" t="str">
        <f t="shared" si="441"/>
        <v>-</v>
      </c>
      <c r="F2330" s="311"/>
      <c r="G2330" s="307" t="str">
        <f t="shared" si="442"/>
        <v>-</v>
      </c>
      <c r="H2330" s="351">
        <f t="shared" si="443"/>
        <v>0</v>
      </c>
      <c r="I2330" s="537" t="str">
        <f t="shared" si="444"/>
        <v>-</v>
      </c>
      <c r="J2330" s="538">
        <f t="shared" si="445"/>
        <v>0</v>
      </c>
      <c r="K2330" s="539" t="s">
        <v>2299</v>
      </c>
      <c r="L2330" s="20"/>
    </row>
    <row r="2331" spans="1:13">
      <c r="A2331" s="14" t="s">
        <v>31</v>
      </c>
      <c r="D2331" s="18">
        <v>10</v>
      </c>
      <c r="E2331" s="26" t="str">
        <f t="shared" si="441"/>
        <v>-</v>
      </c>
      <c r="F2331" s="311"/>
      <c r="G2331" s="307" t="str">
        <f t="shared" si="442"/>
        <v>-</v>
      </c>
      <c r="H2331" s="351">
        <f t="shared" si="443"/>
        <v>0</v>
      </c>
      <c r="I2331" s="537" t="str">
        <f t="shared" si="444"/>
        <v>-</v>
      </c>
      <c r="J2331" s="538">
        <f t="shared" si="445"/>
        <v>0</v>
      </c>
      <c r="K2331" s="539" t="s">
        <v>2299</v>
      </c>
      <c r="L2331" s="20"/>
    </row>
    <row r="2332" spans="1:13">
      <c r="A2332" s="14" t="s">
        <v>31</v>
      </c>
      <c r="D2332" s="18">
        <v>11</v>
      </c>
      <c r="E2332" s="26" t="str">
        <f t="shared" si="441"/>
        <v>-</v>
      </c>
      <c r="F2332" s="311"/>
      <c r="G2332" s="307" t="str">
        <f t="shared" si="442"/>
        <v>-</v>
      </c>
      <c r="H2332" s="351">
        <f t="shared" si="443"/>
        <v>0</v>
      </c>
      <c r="I2332" s="537" t="str">
        <f t="shared" si="444"/>
        <v>-</v>
      </c>
      <c r="J2332" s="538">
        <f t="shared" si="445"/>
        <v>0</v>
      </c>
      <c r="K2332" s="539" t="s">
        <v>2299</v>
      </c>
      <c r="L2332" s="20"/>
    </row>
    <row r="2333" spans="1:13">
      <c r="A2333" s="14" t="s">
        <v>31</v>
      </c>
      <c r="D2333" s="18">
        <v>12</v>
      </c>
      <c r="E2333" s="26" t="str">
        <f t="shared" si="441"/>
        <v>-</v>
      </c>
      <c r="F2333" s="311"/>
      <c r="G2333" s="307" t="str">
        <f t="shared" si="442"/>
        <v>-</v>
      </c>
      <c r="H2333" s="352">
        <f t="shared" si="443"/>
        <v>0</v>
      </c>
      <c r="I2333" s="537" t="str">
        <f t="shared" si="444"/>
        <v>-</v>
      </c>
      <c r="J2333" s="538">
        <f t="shared" si="445"/>
        <v>0</v>
      </c>
      <c r="K2333" s="539" t="s">
        <v>2299</v>
      </c>
      <c r="L2333" s="20"/>
    </row>
    <row r="2334" spans="1:13">
      <c r="A2334" s="14" t="s">
        <v>31</v>
      </c>
      <c r="D2334" s="18">
        <v>13</v>
      </c>
      <c r="E2334" s="26" t="str">
        <f t="shared" si="441"/>
        <v>-</v>
      </c>
      <c r="F2334" s="311"/>
      <c r="G2334" s="307" t="str">
        <f t="shared" si="442"/>
        <v>-</v>
      </c>
      <c r="H2334" s="352">
        <f t="shared" si="443"/>
        <v>0</v>
      </c>
      <c r="I2334" s="537" t="str">
        <f t="shared" si="444"/>
        <v>-</v>
      </c>
      <c r="J2334" s="538">
        <f t="shared" si="445"/>
        <v>0</v>
      </c>
      <c r="K2334" s="539" t="s">
        <v>2299</v>
      </c>
      <c r="L2334" s="20"/>
    </row>
    <row r="2335" spans="1:13">
      <c r="A2335" s="14" t="s">
        <v>31</v>
      </c>
      <c r="D2335" s="18">
        <v>14</v>
      </c>
      <c r="E2335" s="26" t="str">
        <f t="shared" si="441"/>
        <v>-</v>
      </c>
      <c r="F2335" s="311"/>
      <c r="G2335" s="307" t="str">
        <f t="shared" si="442"/>
        <v>-</v>
      </c>
      <c r="H2335" s="352">
        <f t="shared" si="443"/>
        <v>0</v>
      </c>
      <c r="I2335" s="537" t="str">
        <f t="shared" si="444"/>
        <v>-</v>
      </c>
      <c r="J2335" s="538">
        <f t="shared" si="445"/>
        <v>0</v>
      </c>
      <c r="K2335" s="539" t="s">
        <v>2299</v>
      </c>
      <c r="L2335" s="20"/>
    </row>
    <row r="2336" spans="1:13">
      <c r="A2336" s="14" t="s">
        <v>31</v>
      </c>
      <c r="D2336" s="18">
        <v>15</v>
      </c>
      <c r="E2336" s="26" t="str">
        <f t="shared" si="441"/>
        <v>-</v>
      </c>
      <c r="F2336" s="311"/>
      <c r="G2336" s="307" t="str">
        <f t="shared" si="442"/>
        <v>-</v>
      </c>
      <c r="H2336" s="352">
        <f t="shared" si="443"/>
        <v>0</v>
      </c>
      <c r="I2336" s="537" t="str">
        <f t="shared" si="444"/>
        <v>-</v>
      </c>
      <c r="J2336" s="538">
        <f t="shared" si="445"/>
        <v>0</v>
      </c>
      <c r="K2336" s="539" t="s">
        <v>2299</v>
      </c>
      <c r="L2336" s="20"/>
    </row>
    <row r="2337" spans="1:19">
      <c r="A2337" s="14" t="s">
        <v>31</v>
      </c>
      <c r="D2337" s="18">
        <v>16</v>
      </c>
      <c r="E2337" s="26" t="str">
        <f t="shared" si="441"/>
        <v>-</v>
      </c>
      <c r="F2337" s="311"/>
      <c r="G2337" s="307" t="str">
        <f t="shared" si="442"/>
        <v>-</v>
      </c>
      <c r="H2337" s="352">
        <f t="shared" si="443"/>
        <v>0</v>
      </c>
      <c r="I2337" s="537" t="str">
        <f t="shared" si="444"/>
        <v>-</v>
      </c>
      <c r="J2337" s="538">
        <f t="shared" si="445"/>
        <v>0</v>
      </c>
      <c r="K2337" s="539" t="s">
        <v>2299</v>
      </c>
      <c r="L2337" s="20"/>
    </row>
    <row r="2338" spans="1:19">
      <c r="A2338" s="14" t="s">
        <v>31</v>
      </c>
      <c r="D2338" s="18">
        <v>17</v>
      </c>
      <c r="E2338" s="26" t="str">
        <f t="shared" si="441"/>
        <v>-</v>
      </c>
      <c r="F2338" s="311"/>
      <c r="G2338" s="307" t="str">
        <f t="shared" si="442"/>
        <v>-</v>
      </c>
      <c r="H2338" s="352">
        <f t="shared" si="443"/>
        <v>0</v>
      </c>
      <c r="I2338" s="537" t="str">
        <f t="shared" si="444"/>
        <v>-</v>
      </c>
      <c r="J2338" s="538">
        <f t="shared" si="445"/>
        <v>0</v>
      </c>
      <c r="K2338" s="539" t="s">
        <v>2299</v>
      </c>
      <c r="L2338" s="20"/>
    </row>
    <row r="2339" spans="1:19">
      <c r="A2339" s="14" t="s">
        <v>31</v>
      </c>
      <c r="D2339" s="18">
        <v>18</v>
      </c>
      <c r="E2339" s="26" t="str">
        <f t="shared" si="441"/>
        <v>-</v>
      </c>
      <c r="F2339" s="311"/>
      <c r="G2339" s="307" t="str">
        <f t="shared" si="442"/>
        <v>-</v>
      </c>
      <c r="H2339" s="352">
        <f t="shared" si="443"/>
        <v>0</v>
      </c>
      <c r="I2339" s="537" t="str">
        <f t="shared" si="444"/>
        <v>-</v>
      </c>
      <c r="J2339" s="538">
        <f t="shared" si="445"/>
        <v>0</v>
      </c>
      <c r="K2339" s="539" t="s">
        <v>2299</v>
      </c>
      <c r="L2339" s="20"/>
    </row>
    <row r="2340" spans="1:19">
      <c r="A2340" s="14" t="s">
        <v>31</v>
      </c>
      <c r="D2340" s="18">
        <v>19</v>
      </c>
      <c r="E2340" s="26" t="str">
        <f t="shared" si="441"/>
        <v>-</v>
      </c>
      <c r="F2340" s="311"/>
      <c r="G2340" s="307" t="str">
        <f t="shared" si="442"/>
        <v>-</v>
      </c>
      <c r="H2340" s="352">
        <f t="shared" si="443"/>
        <v>0</v>
      </c>
      <c r="I2340" s="537" t="str">
        <f t="shared" si="444"/>
        <v>-</v>
      </c>
      <c r="J2340" s="538">
        <f t="shared" si="445"/>
        <v>0</v>
      </c>
      <c r="K2340" s="539" t="s">
        <v>2299</v>
      </c>
      <c r="L2340" s="20"/>
    </row>
    <row r="2341" spans="1:19">
      <c r="A2341" s="14" t="s">
        <v>31</v>
      </c>
      <c r="D2341" s="18">
        <v>20</v>
      </c>
      <c r="E2341" s="26" t="str">
        <f t="shared" si="441"/>
        <v>-</v>
      </c>
      <c r="F2341" s="311"/>
      <c r="G2341" s="307" t="str">
        <f t="shared" si="442"/>
        <v>-</v>
      </c>
      <c r="H2341" s="352">
        <f t="shared" si="443"/>
        <v>0</v>
      </c>
      <c r="I2341" s="537" t="str">
        <f t="shared" si="444"/>
        <v>-</v>
      </c>
      <c r="J2341" s="541">
        <f t="shared" si="445"/>
        <v>0</v>
      </c>
      <c r="K2341" s="539" t="s">
        <v>2299</v>
      </c>
      <c r="L2341" s="20"/>
    </row>
    <row r="2342" spans="1:19">
      <c r="A2342" s="14">
        <f>A2309+1</f>
        <v>50</v>
      </c>
      <c r="B2342" s="14" t="str">
        <f>"MA" &amp; TEXT(A2342,"##000")</f>
        <v>MA050</v>
      </c>
      <c r="D2342" s="18"/>
      <c r="E2342" s="591" t="s">
        <v>2302</v>
      </c>
      <c r="F2342" s="592"/>
      <c r="G2342" s="592"/>
      <c r="H2342" s="592"/>
      <c r="I2342" s="328"/>
      <c r="J2342" s="353">
        <f>SUM(J2322:J2341)</f>
        <v>435.79999999999995</v>
      </c>
      <c r="K2342" s="365" t="str">
        <f>+F2319</f>
        <v>m2</v>
      </c>
      <c r="L2342" s="20"/>
      <c r="O2342" s="27" t="s">
        <v>1525</v>
      </c>
      <c r="P2342" s="110">
        <v>320</v>
      </c>
    </row>
    <row r="2343" spans="1:19">
      <c r="D2343" s="18"/>
      <c r="E2343" s="593" t="s">
        <v>100</v>
      </c>
      <c r="F2343" s="594"/>
      <c r="G2343" s="594"/>
      <c r="H2343" s="594"/>
      <c r="I2343" s="594"/>
      <c r="J2343" s="595"/>
      <c r="K2343" s="347"/>
      <c r="L2343" s="20"/>
      <c r="O2343" s="27" t="s">
        <v>1524</v>
      </c>
      <c r="P2343" s="110">
        <v>0</v>
      </c>
    </row>
    <row r="2344" spans="1:19">
      <c r="A2344" s="14" t="s">
        <v>84</v>
      </c>
      <c r="D2344" s="18">
        <v>1</v>
      </c>
      <c r="E2344" s="26" t="str">
        <f>VLOOKUP($A2344,MATMO,2,FALSE)</f>
        <v>Oficial</v>
      </c>
      <c r="F2344" s="311">
        <v>4.8</v>
      </c>
      <c r="G2344" s="307" t="str">
        <f>VLOOKUP($A2344,MATMO,3,FALSE)</f>
        <v>hs</v>
      </c>
      <c r="H2344" s="110">
        <f>VLOOKUP($A2344,MATMO,4,FALSE)*$Q$7</f>
        <v>55.38</v>
      </c>
      <c r="I2344" s="354" t="str">
        <f t="shared" ref="I2344:I2348" si="446">+G2344</f>
        <v>hs</v>
      </c>
      <c r="J2344" s="350">
        <f t="shared" ref="J2344:J2348" si="447">+H2344*F2344</f>
        <v>265.82400000000001</v>
      </c>
      <c r="K2344" s="360" t="s">
        <v>2299</v>
      </c>
      <c r="L2344" s="20"/>
      <c r="M2344" s="14" t="s">
        <v>2006</v>
      </c>
      <c r="O2344" s="27" t="s">
        <v>1526</v>
      </c>
      <c r="P2344" s="110">
        <v>0</v>
      </c>
    </row>
    <row r="2345" spans="1:19">
      <c r="A2345" s="14" t="s">
        <v>85</v>
      </c>
      <c r="D2345" s="18">
        <v>2</v>
      </c>
      <c r="E2345" s="26" t="str">
        <f>VLOOKUP($A2345,MATMO,2,FALSE)</f>
        <v>Ayudante</v>
      </c>
      <c r="F2345" s="311">
        <v>1</v>
      </c>
      <c r="G2345" s="307" t="str">
        <f>VLOOKUP($A2345,MATMO,3,FALSE)</f>
        <v>hs</v>
      </c>
      <c r="H2345" s="110">
        <f>VLOOKUP($A2345,MATMO,4,FALSE)*$Q$7</f>
        <v>46.87</v>
      </c>
      <c r="I2345" s="354" t="str">
        <f t="shared" si="446"/>
        <v>hs</v>
      </c>
      <c r="J2345" s="350">
        <f t="shared" si="447"/>
        <v>46.87</v>
      </c>
      <c r="K2345" s="360" t="s">
        <v>2299</v>
      </c>
      <c r="L2345" s="20"/>
      <c r="O2345" s="27" t="s">
        <v>1527</v>
      </c>
      <c r="P2345" s="110">
        <v>0</v>
      </c>
    </row>
    <row r="2346" spans="1:19">
      <c r="A2346" s="14" t="s">
        <v>2311</v>
      </c>
      <c r="D2346" s="18">
        <v>3</v>
      </c>
      <c r="E2346" s="26" t="str">
        <f>VLOOKUP($A2346,MATMO,2,FALSE)</f>
        <v>Cargas Sociales Oficial</v>
      </c>
      <c r="F2346" s="311">
        <f>+F2344</f>
        <v>4.8</v>
      </c>
      <c r="G2346" s="307" t="str">
        <f>VLOOKUP($A2346,MATMO,3,FALSE)</f>
        <v>hs</v>
      </c>
      <c r="H2346" s="110">
        <f>VLOOKUP($A2346,MATMO,4,FALSE)*$Q$7</f>
        <v>52.742782499999997</v>
      </c>
      <c r="I2346" s="354" t="str">
        <f t="shared" si="446"/>
        <v>hs</v>
      </c>
      <c r="J2346" s="350">
        <f t="shared" si="447"/>
        <v>253.16535599999997</v>
      </c>
      <c r="K2346" s="360" t="s">
        <v>2299</v>
      </c>
      <c r="L2346" s="20"/>
      <c r="O2346" s="27"/>
      <c r="P2346" s="110">
        <v>0</v>
      </c>
    </row>
    <row r="2347" spans="1:19">
      <c r="A2347" s="14" t="s">
        <v>2312</v>
      </c>
      <c r="D2347" s="18">
        <v>4</v>
      </c>
      <c r="E2347" s="26" t="str">
        <f>VLOOKUP($A2347,MATMO,2,FALSE)</f>
        <v>Cargas Sociales Ayudante</v>
      </c>
      <c r="F2347" s="311">
        <f>+F2345</f>
        <v>1</v>
      </c>
      <c r="G2347" s="307" t="str">
        <f>VLOOKUP($A2347,MATMO,3,FALSE)</f>
        <v>hs</v>
      </c>
      <c r="H2347" s="110">
        <f>VLOOKUP($A2347,MATMO,4,FALSE)*$Q$7</f>
        <v>45.108248750000001</v>
      </c>
      <c r="I2347" s="354" t="str">
        <f t="shared" si="446"/>
        <v>hs</v>
      </c>
      <c r="J2347" s="350">
        <f t="shared" si="447"/>
        <v>45.108248750000001</v>
      </c>
      <c r="K2347" s="360" t="s">
        <v>2299</v>
      </c>
      <c r="L2347" s="20"/>
      <c r="O2347" s="27"/>
      <c r="P2347" s="110">
        <v>0</v>
      </c>
    </row>
    <row r="2348" spans="1:19" ht="16.5" thickBot="1">
      <c r="A2348" s="14" t="s">
        <v>83</v>
      </c>
      <c r="D2348" s="18">
        <v>5</v>
      </c>
      <c r="E2348" s="26" t="str">
        <f>VLOOKUP($A2348,MATMO,2,FALSE)</f>
        <v>-</v>
      </c>
      <c r="F2348" s="311"/>
      <c r="G2348" s="307" t="str">
        <f>VLOOKUP($A2348,MATMO,3,FALSE)</f>
        <v>-</v>
      </c>
      <c r="H2348" s="110">
        <f>VLOOKUP($A2348,MATMO,4,FALSE)*$Q$7</f>
        <v>0</v>
      </c>
      <c r="I2348" s="537" t="str">
        <f t="shared" si="446"/>
        <v>-</v>
      </c>
      <c r="J2348" s="538">
        <f t="shared" si="447"/>
        <v>0</v>
      </c>
      <c r="K2348" s="539" t="s">
        <v>2299</v>
      </c>
      <c r="L2348" s="20"/>
      <c r="O2348" s="27"/>
      <c r="P2348" s="110">
        <v>0</v>
      </c>
      <c r="R2348" s="29" t="s">
        <v>2307</v>
      </c>
    </row>
    <row r="2349" spans="1:19" ht="16.5" thickBot="1">
      <c r="A2349" s="14">
        <f>A2309+1</f>
        <v>50</v>
      </c>
      <c r="B2349" s="14" t="str">
        <f>"MO" &amp; TEXT(A2349,"##000")</f>
        <v>MO050</v>
      </c>
      <c r="D2349" s="18"/>
      <c r="E2349" s="591" t="s">
        <v>2301</v>
      </c>
      <c r="F2349" s="592"/>
      <c r="G2349" s="592"/>
      <c r="H2349" s="592"/>
      <c r="I2349" s="328"/>
      <c r="J2349" s="362">
        <f>SUM(J2344:J2348)</f>
        <v>610.96760474999996</v>
      </c>
      <c r="K2349" s="365" t="str">
        <f>+G2344</f>
        <v>hs</v>
      </c>
      <c r="L2349" s="20"/>
      <c r="N2349" s="111">
        <f>+P2349+R2349</f>
        <v>608</v>
      </c>
      <c r="O2349" s="27"/>
      <c r="P2349" s="27">
        <f>SUM(P2342:P2348)</f>
        <v>320</v>
      </c>
      <c r="Q2349" s="26">
        <v>0.9</v>
      </c>
      <c r="R2349" s="287">
        <f>+Q2349*P2349</f>
        <v>288</v>
      </c>
      <c r="S2349" s="288"/>
    </row>
    <row r="2350" spans="1:19">
      <c r="D2350" s="18"/>
      <c r="E2350" s="593" t="s">
        <v>101</v>
      </c>
      <c r="F2350" s="594"/>
      <c r="G2350" s="594"/>
      <c r="H2350" s="594"/>
      <c r="I2350" s="594"/>
      <c r="J2350" s="595"/>
      <c r="K2350" s="347"/>
      <c r="L2350" s="20"/>
      <c r="P2350" s="14" t="s">
        <v>2308</v>
      </c>
    </row>
    <row r="2351" spans="1:19">
      <c r="A2351" s="14" t="s">
        <v>119</v>
      </c>
      <c r="D2351" s="18">
        <v>1</v>
      </c>
      <c r="E2351" s="26" t="str">
        <f>VLOOKUP($A2351,MATMO,2,FALSE)</f>
        <v>Herramientas de Mano</v>
      </c>
      <c r="F2351" s="311">
        <v>1</v>
      </c>
      <c r="G2351" s="307" t="str">
        <f>VLOOKUP($A2351,MATMO,3,FALSE)</f>
        <v>gl</v>
      </c>
      <c r="H2351" s="110">
        <f>+(J2342+J2349)*$Q$5</f>
        <v>41.870704189999998</v>
      </c>
      <c r="I2351" s="345" t="str">
        <f>+G2351</f>
        <v>gl</v>
      </c>
      <c r="J2351" s="350">
        <f t="shared" ref="J2351:J2355" si="448">+H2351*F2351</f>
        <v>41.870704189999998</v>
      </c>
      <c r="K2351" s="360" t="s">
        <v>2299</v>
      </c>
      <c r="L2351" s="20"/>
      <c r="M2351" s="14" t="s">
        <v>2004</v>
      </c>
    </row>
    <row r="2352" spans="1:19">
      <c r="A2352" s="14" t="s">
        <v>118</v>
      </c>
      <c r="D2352" s="18">
        <v>2</v>
      </c>
      <c r="E2352" s="26" t="str">
        <f>VLOOKUP($A2352,MATMO,2,FALSE)</f>
        <v>-</v>
      </c>
      <c r="F2352" s="311"/>
      <c r="G2352" s="307" t="str">
        <f>VLOOKUP($A2352,MATMO,3,FALSE)</f>
        <v>-</v>
      </c>
      <c r="H2352" s="110">
        <f>VLOOKUP($A2352,MATMO,4,FALSE)*$Q$6</f>
        <v>0</v>
      </c>
      <c r="I2352" s="543" t="str">
        <f t="shared" ref="I2352:I2355" si="449">+G2352</f>
        <v>-</v>
      </c>
      <c r="J2352" s="538">
        <f t="shared" si="448"/>
        <v>0</v>
      </c>
      <c r="K2352" s="539" t="s">
        <v>2299</v>
      </c>
      <c r="L2352" s="20"/>
    </row>
    <row r="2353" spans="1:12">
      <c r="A2353" s="14" t="s">
        <v>118</v>
      </c>
      <c r="D2353" s="18">
        <v>3</v>
      </c>
      <c r="E2353" s="26" t="str">
        <f>VLOOKUP($A2353,MATMO,2,FALSE)</f>
        <v>-</v>
      </c>
      <c r="F2353" s="311"/>
      <c r="G2353" s="307" t="str">
        <f>VLOOKUP($A2353,MATMO,3,FALSE)</f>
        <v>-</v>
      </c>
      <c r="H2353" s="110">
        <f>VLOOKUP($A2353,MATMO,4,FALSE)*$Q$6</f>
        <v>0</v>
      </c>
      <c r="I2353" s="543" t="str">
        <f t="shared" si="449"/>
        <v>-</v>
      </c>
      <c r="J2353" s="538">
        <f t="shared" si="448"/>
        <v>0</v>
      </c>
      <c r="K2353" s="539" t="s">
        <v>2299</v>
      </c>
      <c r="L2353" s="20"/>
    </row>
    <row r="2354" spans="1:12">
      <c r="A2354" s="14" t="s">
        <v>118</v>
      </c>
      <c r="D2354" s="18">
        <v>4</v>
      </c>
      <c r="E2354" s="26" t="str">
        <f>VLOOKUP($A2354,MATMO,2,FALSE)</f>
        <v>-</v>
      </c>
      <c r="F2354" s="311"/>
      <c r="G2354" s="307" t="str">
        <f>VLOOKUP($A2354,MATMO,3,FALSE)</f>
        <v>-</v>
      </c>
      <c r="H2354" s="110">
        <f>VLOOKUP($A2354,MATMO,4,FALSE)*$Q$6</f>
        <v>0</v>
      </c>
      <c r="I2354" s="543" t="str">
        <f t="shared" si="449"/>
        <v>-</v>
      </c>
      <c r="J2354" s="538">
        <f t="shared" si="448"/>
        <v>0</v>
      </c>
      <c r="K2354" s="539" t="s">
        <v>2299</v>
      </c>
      <c r="L2354" s="20"/>
    </row>
    <row r="2355" spans="1:12">
      <c r="A2355" s="14" t="s">
        <v>118</v>
      </c>
      <c r="D2355" s="18">
        <v>5</v>
      </c>
      <c r="E2355" s="26" t="str">
        <f>VLOOKUP($A2355,MATMO,2,FALSE)</f>
        <v>-</v>
      </c>
      <c r="F2355" s="311"/>
      <c r="G2355" s="307" t="str">
        <f>VLOOKUP($A2355,MATMO,3,FALSE)</f>
        <v>-</v>
      </c>
      <c r="H2355" s="110">
        <f>VLOOKUP($A2355,MATMO,4,FALSE)*$Q$6</f>
        <v>0</v>
      </c>
      <c r="I2355" s="543" t="str">
        <f t="shared" si="449"/>
        <v>-</v>
      </c>
      <c r="J2355" s="538">
        <f t="shared" si="448"/>
        <v>0</v>
      </c>
      <c r="K2355" s="539" t="s">
        <v>2299</v>
      </c>
      <c r="L2355" s="20"/>
    </row>
    <row r="2356" spans="1:12">
      <c r="A2356" s="14">
        <f>A2309+1</f>
        <v>50</v>
      </c>
      <c r="B2356" s="14" t="str">
        <f>"E" &amp; TEXT(A2356,"##000")</f>
        <v>E050</v>
      </c>
      <c r="D2356" s="18"/>
      <c r="E2356" s="591" t="s">
        <v>2300</v>
      </c>
      <c r="F2356" s="592"/>
      <c r="G2356" s="592"/>
      <c r="H2356" s="592"/>
      <c r="I2356" s="328"/>
      <c r="J2356" s="362">
        <f>SUM(J2351:J2355)</f>
        <v>41.870704189999998</v>
      </c>
      <c r="K2356" s="365" t="s">
        <v>116</v>
      </c>
      <c r="L2356" s="20"/>
    </row>
    <row r="2357" spans="1:12">
      <c r="D2357" s="18"/>
      <c r="E2357" s="596"/>
      <c r="F2357" s="597"/>
      <c r="G2357" s="597"/>
      <c r="H2357" s="597"/>
      <c r="I2357" s="597"/>
      <c r="J2357" s="598"/>
      <c r="K2357" s="348"/>
      <c r="L2357" s="20"/>
    </row>
    <row r="2358" spans="1:12">
      <c r="D2358" s="18"/>
      <c r="E2358" s="591" t="s">
        <v>2306</v>
      </c>
      <c r="F2358" s="592"/>
      <c r="G2358" s="592"/>
      <c r="H2358" s="592"/>
      <c r="I2358" s="328"/>
      <c r="J2358" s="308">
        <f>+J2356+J2349+J2342</f>
        <v>1088.6383089399999</v>
      </c>
      <c r="K2358" s="365" t="str">
        <f>+F2319</f>
        <v>m2</v>
      </c>
      <c r="L2358" s="20"/>
    </row>
    <row r="2359" spans="1:12">
      <c r="D2359" s="18"/>
      <c r="E2359" s="591" t="s">
        <v>2305</v>
      </c>
      <c r="F2359" s="592"/>
      <c r="G2359" s="592"/>
      <c r="H2359" s="592"/>
      <c r="I2359" s="406">
        <f>+$Q$9</f>
        <v>1.6902999999999999</v>
      </c>
      <c r="J2359" s="308">
        <f>+$Q$9*J2358</f>
        <v>1840.1253336012817</v>
      </c>
      <c r="K2359" s="365" t="str">
        <f>+F2319</f>
        <v>m2</v>
      </c>
      <c r="L2359" s="20"/>
    </row>
    <row r="2360" spans="1:12">
      <c r="A2360" s="14">
        <f>A2313+1</f>
        <v>50</v>
      </c>
      <c r="B2360" s="14" t="str">
        <f>"TR" &amp; TEXT(A2360,"##000")</f>
        <v>TR050</v>
      </c>
      <c r="C2360" s="14">
        <f>+C2313+1</f>
        <v>50</v>
      </c>
      <c r="D2360" s="18"/>
      <c r="E2360" s="591" t="s">
        <v>2304</v>
      </c>
      <c r="F2360" s="592"/>
      <c r="G2360" s="592"/>
      <c r="H2360" s="592"/>
      <c r="I2360" s="328"/>
      <c r="J2360" s="308">
        <f>+J2359</f>
        <v>1840.1253336012817</v>
      </c>
      <c r="K2360" s="365" t="str">
        <f>+F2319</f>
        <v>m2</v>
      </c>
      <c r="L2360" s="20"/>
    </row>
    <row r="2361" spans="1:12" ht="16.5" thickBot="1">
      <c r="D2361" s="21"/>
      <c r="E2361" s="30"/>
      <c r="F2361" s="30"/>
      <c r="G2361" s="30"/>
      <c r="H2361" s="30"/>
      <c r="I2361" s="30"/>
      <c r="J2361" s="30"/>
      <c r="K2361" s="349"/>
      <c r="L2361" s="22"/>
    </row>
    <row r="2362" spans="1:12" ht="16.5" thickTop="1">
      <c r="D2362" s="15"/>
      <c r="E2362" s="16"/>
      <c r="F2362" s="16"/>
      <c r="G2362" s="16"/>
      <c r="H2362" s="16"/>
      <c r="I2362" s="16"/>
      <c r="J2362" s="16"/>
      <c r="K2362" s="16"/>
      <c r="L2362" s="17"/>
    </row>
    <row r="2363" spans="1:12">
      <c r="A2363" s="14" t="s">
        <v>1879</v>
      </c>
      <c r="D2363" s="18"/>
      <c r="E2363" s="23" t="s">
        <v>95</v>
      </c>
      <c r="F2363" s="364" t="str">
        <f>VLOOKUP($A2363,DATRUB,3,FALSE)</f>
        <v>RUBRO XII:</v>
      </c>
      <c r="G2363" s="599" t="str">
        <f>VLOOKUP($A2363,DATRUB,4,FALSE)</f>
        <v>INSTALACIÓN ELÉCTRICA</v>
      </c>
      <c r="H2363" s="599"/>
      <c r="I2363" s="599"/>
      <c r="J2363" s="599"/>
      <c r="K2363" s="599"/>
      <c r="L2363" s="20"/>
    </row>
    <row r="2364" spans="1:12" ht="35.1" customHeight="1">
      <c r="A2364" s="14" t="s">
        <v>1880</v>
      </c>
      <c r="D2364" s="18"/>
      <c r="E2364" s="23" t="s">
        <v>96</v>
      </c>
      <c r="F2364" s="399">
        <f>VLOOKUP($A2364,DATRUB,3,FALSE)</f>
        <v>12.1</v>
      </c>
      <c r="G2364" s="599" t="str">
        <f>VLOOKUP($A2364,DATRUB,4,FALSE)</f>
        <v>Colocacion de bocas , tendido de cañerias y conductores</v>
      </c>
      <c r="H2364" s="599"/>
      <c r="I2364" s="599"/>
      <c r="J2364" s="599"/>
      <c r="K2364" s="599"/>
      <c r="L2364" s="20"/>
    </row>
    <row r="2365" spans="1:12" ht="35.1" customHeight="1">
      <c r="A2365" s="14" t="s">
        <v>1880</v>
      </c>
      <c r="D2365" s="18"/>
      <c r="E2365" s="23" t="s">
        <v>97</v>
      </c>
      <c r="F2365" s="399">
        <f>VLOOKUP($A2365,DATRUB,3,FALSE)</f>
        <v>12.1</v>
      </c>
      <c r="G2365" s="599" t="str">
        <f>VLOOKUP($A2365,DATRUB,4,FALSE)</f>
        <v>Colocacion de bocas , tendido de cañerias y conductores</v>
      </c>
      <c r="H2365" s="599"/>
      <c r="I2365" s="599"/>
      <c r="J2365" s="599"/>
      <c r="K2365" s="599"/>
      <c r="L2365" s="20"/>
    </row>
    <row r="2366" spans="1:12">
      <c r="D2366" s="18"/>
      <c r="E2366" s="23" t="s">
        <v>98</v>
      </c>
      <c r="F2366" s="364" t="str">
        <f>VLOOKUP($A2365,DATRUB,5,FALSE)</f>
        <v>ud</v>
      </c>
      <c r="G2366" s="600"/>
      <c r="H2366" s="600"/>
      <c r="I2366" s="600"/>
      <c r="J2366" s="600"/>
      <c r="K2366" s="600"/>
      <c r="L2366" s="20"/>
    </row>
    <row r="2367" spans="1:12">
      <c r="D2367" s="18"/>
      <c r="E2367" s="364" t="s">
        <v>1158</v>
      </c>
      <c r="F2367" s="363" t="s">
        <v>1250</v>
      </c>
      <c r="G2367" s="364" t="s">
        <v>24</v>
      </c>
      <c r="H2367" s="364" t="s">
        <v>25</v>
      </c>
      <c r="I2367" s="364" t="s">
        <v>24</v>
      </c>
      <c r="J2367" s="364" t="s">
        <v>2298</v>
      </c>
      <c r="K2367" s="364" t="s">
        <v>24</v>
      </c>
      <c r="L2367" s="20"/>
    </row>
    <row r="2368" spans="1:12">
      <c r="D2368" s="18"/>
      <c r="E2368" s="593" t="s">
        <v>99</v>
      </c>
      <c r="F2368" s="594"/>
      <c r="G2368" s="594"/>
      <c r="H2368" s="594"/>
      <c r="I2368" s="594"/>
      <c r="J2368" s="594"/>
      <c r="K2368" s="595"/>
      <c r="L2368" s="20"/>
    </row>
    <row r="2369" spans="1:13">
      <c r="A2369" s="407" t="s">
        <v>1333</v>
      </c>
      <c r="D2369" s="18">
        <v>1</v>
      </c>
      <c r="E2369" s="355" t="str">
        <f t="shared" ref="E2369:E2388" si="450">VLOOKUP($A2369,MATMO,2,FALSE)</f>
        <v>Caja Octogonal Grande</v>
      </c>
      <c r="F2369" s="356">
        <v>140</v>
      </c>
      <c r="G2369" s="357" t="str">
        <f t="shared" ref="G2369:G2388" si="451">VLOOKUP($A2369,MATMO,3,FALSE)</f>
        <v>u</v>
      </c>
      <c r="H2369" s="358">
        <f t="shared" ref="H2369:H2387" si="452">VLOOKUP($A2369,MATMO,4,FALSE)*$Q$6</f>
        <v>15.5</v>
      </c>
      <c r="I2369" s="359" t="str">
        <f t="shared" ref="I2369:I2388" si="453">+G2369</f>
        <v>u</v>
      </c>
      <c r="J2369" s="361">
        <f>+H2369*F2369</f>
        <v>2170</v>
      </c>
      <c r="K2369" s="360" t="s">
        <v>2299</v>
      </c>
      <c r="L2369" s="20"/>
      <c r="M2369" s="14" t="s">
        <v>2005</v>
      </c>
    </row>
    <row r="2370" spans="1:13">
      <c r="A2370" s="407" t="s">
        <v>1334</v>
      </c>
      <c r="D2370" s="18">
        <v>2</v>
      </c>
      <c r="E2370" s="26" t="str">
        <f t="shared" si="450"/>
        <v>Caja Rectangular</v>
      </c>
      <c r="F2370" s="311">
        <v>150</v>
      </c>
      <c r="G2370" s="307" t="str">
        <f t="shared" si="451"/>
        <v>u</v>
      </c>
      <c r="H2370" s="351">
        <f t="shared" si="452"/>
        <v>10</v>
      </c>
      <c r="I2370" s="354" t="str">
        <f t="shared" si="453"/>
        <v>u</v>
      </c>
      <c r="J2370" s="350">
        <f t="shared" ref="J2370:J2388" si="454">+H2370*F2370</f>
        <v>1500</v>
      </c>
      <c r="K2370" s="360" t="s">
        <v>2299</v>
      </c>
      <c r="L2370" s="20"/>
    </row>
    <row r="2371" spans="1:13">
      <c r="A2371" s="407" t="s">
        <v>1335</v>
      </c>
      <c r="D2371" s="18">
        <v>3</v>
      </c>
      <c r="E2371" s="26" t="str">
        <f t="shared" si="450"/>
        <v>Caño 3/4</v>
      </c>
      <c r="F2371" s="311">
        <v>130</v>
      </c>
      <c r="G2371" s="307" t="str">
        <f t="shared" si="451"/>
        <v>u</v>
      </c>
      <c r="H2371" s="351">
        <f t="shared" si="452"/>
        <v>20.5</v>
      </c>
      <c r="I2371" s="354" t="str">
        <f t="shared" si="453"/>
        <v>u</v>
      </c>
      <c r="J2371" s="350">
        <f t="shared" si="454"/>
        <v>2665</v>
      </c>
      <c r="K2371" s="360" t="s">
        <v>2299</v>
      </c>
      <c r="L2371" s="20"/>
    </row>
    <row r="2372" spans="1:13">
      <c r="A2372" s="407" t="s">
        <v>1336</v>
      </c>
      <c r="D2372" s="18">
        <v>4</v>
      </c>
      <c r="E2372" s="26" t="str">
        <f t="shared" si="450"/>
        <v>Caño 7/8</v>
      </c>
      <c r="F2372" s="311">
        <v>70</v>
      </c>
      <c r="G2372" s="307" t="str">
        <f t="shared" si="451"/>
        <v>u</v>
      </c>
      <c r="H2372" s="351">
        <f t="shared" si="452"/>
        <v>23.5</v>
      </c>
      <c r="I2372" s="354" t="str">
        <f t="shared" si="453"/>
        <v>u</v>
      </c>
      <c r="J2372" s="350">
        <f t="shared" si="454"/>
        <v>1645</v>
      </c>
      <c r="K2372" s="360" t="s">
        <v>2299</v>
      </c>
      <c r="L2372" s="20"/>
    </row>
    <row r="2373" spans="1:13">
      <c r="A2373" s="407" t="s">
        <v>1337</v>
      </c>
      <c r="D2373" s="18">
        <v>5</v>
      </c>
      <c r="E2373" s="26" t="str">
        <f t="shared" si="450"/>
        <v>Gancho para Caja</v>
      </c>
      <c r="F2373" s="311">
        <v>130</v>
      </c>
      <c r="G2373" s="307" t="str">
        <f t="shared" si="451"/>
        <v>u</v>
      </c>
      <c r="H2373" s="351">
        <f t="shared" si="452"/>
        <v>3.7</v>
      </c>
      <c r="I2373" s="354" t="str">
        <f t="shared" si="453"/>
        <v>u</v>
      </c>
      <c r="J2373" s="350">
        <f t="shared" si="454"/>
        <v>481</v>
      </c>
      <c r="K2373" s="360" t="s">
        <v>2299</v>
      </c>
      <c r="L2373" s="20"/>
    </row>
    <row r="2374" spans="1:13">
      <c r="A2374" s="407" t="s">
        <v>1338</v>
      </c>
      <c r="D2374" s="18">
        <v>6</v>
      </c>
      <c r="E2374" s="26" t="str">
        <f t="shared" si="450"/>
        <v>Conector 3/4</v>
      </c>
      <c r="F2374" s="311">
        <v>300</v>
      </c>
      <c r="G2374" s="307" t="str">
        <f t="shared" si="451"/>
        <v>u</v>
      </c>
      <c r="H2374" s="351">
        <f t="shared" si="452"/>
        <v>3.1</v>
      </c>
      <c r="I2374" s="354" t="str">
        <f t="shared" si="453"/>
        <v>u</v>
      </c>
      <c r="J2374" s="350">
        <f t="shared" si="454"/>
        <v>930</v>
      </c>
      <c r="K2374" s="360" t="s">
        <v>2299</v>
      </c>
      <c r="L2374" s="20"/>
    </row>
    <row r="2375" spans="1:13">
      <c r="A2375" s="407" t="s">
        <v>1339</v>
      </c>
      <c r="D2375" s="18">
        <v>7</v>
      </c>
      <c r="E2375" s="26" t="str">
        <f t="shared" si="450"/>
        <v>Unión Doble 3/4</v>
      </c>
      <c r="F2375" s="311">
        <v>160</v>
      </c>
      <c r="G2375" s="307" t="str">
        <f t="shared" si="451"/>
        <v>u</v>
      </c>
      <c r="H2375" s="351">
        <f t="shared" si="452"/>
        <v>2.5</v>
      </c>
      <c r="I2375" s="354" t="str">
        <f t="shared" si="453"/>
        <v>u</v>
      </c>
      <c r="J2375" s="350">
        <f t="shared" si="454"/>
        <v>400</v>
      </c>
      <c r="K2375" s="360" t="s">
        <v>2299</v>
      </c>
      <c r="L2375" s="20"/>
    </row>
    <row r="2376" spans="1:13">
      <c r="A2376" s="407" t="s">
        <v>1340</v>
      </c>
      <c r="D2376" s="18">
        <v>8</v>
      </c>
      <c r="E2376" s="26" t="str">
        <f t="shared" si="450"/>
        <v>Curva 3/4</v>
      </c>
      <c r="F2376" s="311">
        <v>110</v>
      </c>
      <c r="G2376" s="307" t="str">
        <f t="shared" si="451"/>
        <v>u</v>
      </c>
      <c r="H2376" s="351">
        <f t="shared" si="452"/>
        <v>10.5</v>
      </c>
      <c r="I2376" s="354" t="str">
        <f t="shared" si="453"/>
        <v>u</v>
      </c>
      <c r="J2376" s="350">
        <f t="shared" si="454"/>
        <v>1155</v>
      </c>
      <c r="K2376" s="360" t="s">
        <v>2299</v>
      </c>
      <c r="L2376" s="20"/>
    </row>
    <row r="2377" spans="1:13">
      <c r="A2377" s="407" t="s">
        <v>1341</v>
      </c>
      <c r="D2377" s="18">
        <v>9</v>
      </c>
      <c r="E2377" s="26" t="str">
        <f t="shared" si="450"/>
        <v>Conector 7/8</v>
      </c>
      <c r="F2377" s="311">
        <v>150</v>
      </c>
      <c r="G2377" s="307" t="str">
        <f t="shared" si="451"/>
        <v>u</v>
      </c>
      <c r="H2377" s="351">
        <f t="shared" si="452"/>
        <v>6.2</v>
      </c>
      <c r="I2377" s="354" t="str">
        <f t="shared" si="453"/>
        <v>u</v>
      </c>
      <c r="J2377" s="350">
        <f t="shared" si="454"/>
        <v>930</v>
      </c>
      <c r="K2377" s="360" t="s">
        <v>2299</v>
      </c>
      <c r="L2377" s="20"/>
    </row>
    <row r="2378" spans="1:13">
      <c r="A2378" s="407" t="s">
        <v>1342</v>
      </c>
      <c r="D2378" s="18">
        <v>10</v>
      </c>
      <c r="E2378" s="26" t="str">
        <f t="shared" si="450"/>
        <v>Unión Doble 7/8</v>
      </c>
      <c r="F2378" s="311">
        <v>100</v>
      </c>
      <c r="G2378" s="307" t="str">
        <f t="shared" si="451"/>
        <v>u</v>
      </c>
      <c r="H2378" s="351">
        <f t="shared" si="452"/>
        <v>3.6</v>
      </c>
      <c r="I2378" s="354" t="str">
        <f t="shared" si="453"/>
        <v>u</v>
      </c>
      <c r="J2378" s="350">
        <f t="shared" si="454"/>
        <v>360</v>
      </c>
      <c r="K2378" s="360" t="s">
        <v>2299</v>
      </c>
      <c r="L2378" s="20"/>
    </row>
    <row r="2379" spans="1:13">
      <c r="A2379" s="407" t="s">
        <v>1343</v>
      </c>
      <c r="D2379" s="18">
        <v>11</v>
      </c>
      <c r="E2379" s="26" t="str">
        <f t="shared" si="450"/>
        <v>Curva 7/8</v>
      </c>
      <c r="F2379" s="311">
        <v>70</v>
      </c>
      <c r="G2379" s="307" t="str">
        <f t="shared" si="451"/>
        <v>u</v>
      </c>
      <c r="H2379" s="351">
        <f t="shared" si="452"/>
        <v>16.3</v>
      </c>
      <c r="I2379" s="354" t="str">
        <f t="shared" si="453"/>
        <v>u</v>
      </c>
      <c r="J2379" s="350">
        <f t="shared" si="454"/>
        <v>1141</v>
      </c>
      <c r="K2379" s="360" t="s">
        <v>2299</v>
      </c>
      <c r="L2379" s="20"/>
    </row>
    <row r="2380" spans="1:13">
      <c r="A2380" s="407" t="s">
        <v>1344</v>
      </c>
      <c r="D2380" s="18">
        <v>12</v>
      </c>
      <c r="E2380" s="26" t="str">
        <f t="shared" si="450"/>
        <v>Cable 1,5 mm</v>
      </c>
      <c r="F2380" s="311">
        <v>1300</v>
      </c>
      <c r="G2380" s="307" t="str">
        <f t="shared" si="451"/>
        <v>m</v>
      </c>
      <c r="H2380" s="352">
        <f t="shared" si="452"/>
        <v>2.2999999999999998</v>
      </c>
      <c r="I2380" s="354" t="str">
        <f t="shared" si="453"/>
        <v>m</v>
      </c>
      <c r="J2380" s="350">
        <f t="shared" si="454"/>
        <v>2989.9999999999995</v>
      </c>
      <c r="K2380" s="360" t="s">
        <v>2299</v>
      </c>
      <c r="L2380" s="20"/>
    </row>
    <row r="2381" spans="1:13">
      <c r="A2381" s="407" t="s">
        <v>1345</v>
      </c>
      <c r="D2381" s="18">
        <v>13</v>
      </c>
      <c r="E2381" s="26" t="str">
        <f t="shared" si="450"/>
        <v>Cable 2,5 mm</v>
      </c>
      <c r="F2381" s="311">
        <v>1800</v>
      </c>
      <c r="G2381" s="307" t="str">
        <f t="shared" si="451"/>
        <v>m</v>
      </c>
      <c r="H2381" s="352">
        <f t="shared" si="452"/>
        <v>3.6</v>
      </c>
      <c r="I2381" s="354" t="str">
        <f t="shared" si="453"/>
        <v>m</v>
      </c>
      <c r="J2381" s="350">
        <f t="shared" si="454"/>
        <v>6480</v>
      </c>
      <c r="K2381" s="360" t="s">
        <v>2299</v>
      </c>
      <c r="L2381" s="20"/>
    </row>
    <row r="2382" spans="1:13">
      <c r="A2382" s="407" t="s">
        <v>1346</v>
      </c>
      <c r="D2382" s="18">
        <v>14</v>
      </c>
      <c r="E2382" s="26" t="str">
        <f t="shared" si="450"/>
        <v>Cable 4 mm</v>
      </c>
      <c r="F2382" s="311">
        <v>900</v>
      </c>
      <c r="G2382" s="307" t="str">
        <f t="shared" si="451"/>
        <v>m</v>
      </c>
      <c r="H2382" s="352">
        <f t="shared" si="452"/>
        <v>5.7</v>
      </c>
      <c r="I2382" s="354" t="str">
        <f t="shared" si="453"/>
        <v>m</v>
      </c>
      <c r="J2382" s="350">
        <f t="shared" si="454"/>
        <v>5130</v>
      </c>
      <c r="K2382" s="360" t="s">
        <v>2299</v>
      </c>
      <c r="L2382" s="20"/>
    </row>
    <row r="2383" spans="1:13">
      <c r="A2383" s="407" t="s">
        <v>1347</v>
      </c>
      <c r="D2383" s="18">
        <v>15</v>
      </c>
      <c r="E2383" s="26" t="str">
        <f t="shared" si="450"/>
        <v>Cable 10 mm</v>
      </c>
      <c r="F2383" s="311">
        <v>1000</v>
      </c>
      <c r="G2383" s="307" t="str">
        <f t="shared" si="451"/>
        <v>m</v>
      </c>
      <c r="H2383" s="352">
        <f t="shared" si="452"/>
        <v>14.2</v>
      </c>
      <c r="I2383" s="354" t="str">
        <f t="shared" si="453"/>
        <v>m</v>
      </c>
      <c r="J2383" s="350">
        <f t="shared" si="454"/>
        <v>14200</v>
      </c>
      <c r="K2383" s="360" t="s">
        <v>2299</v>
      </c>
      <c r="L2383" s="20"/>
    </row>
    <row r="2384" spans="1:13">
      <c r="A2384" s="407" t="s">
        <v>1348</v>
      </c>
      <c r="D2384" s="18">
        <v>16</v>
      </c>
      <c r="E2384" s="26" t="str">
        <f t="shared" si="450"/>
        <v>Módulo Toma SICA LIFE</v>
      </c>
      <c r="F2384" s="311">
        <v>120</v>
      </c>
      <c r="G2384" s="307" t="str">
        <f t="shared" si="451"/>
        <v>u</v>
      </c>
      <c r="H2384" s="352">
        <f t="shared" si="452"/>
        <v>8.1999999999999993</v>
      </c>
      <c r="I2384" s="354" t="str">
        <f t="shared" si="453"/>
        <v>u</v>
      </c>
      <c r="J2384" s="350">
        <f t="shared" si="454"/>
        <v>983.99999999999989</v>
      </c>
      <c r="K2384" s="360" t="s">
        <v>2299</v>
      </c>
      <c r="L2384" s="20"/>
    </row>
    <row r="2385" spans="1:19">
      <c r="A2385" s="407" t="s">
        <v>1349</v>
      </c>
      <c r="D2385" s="18">
        <v>17</v>
      </c>
      <c r="E2385" s="26" t="str">
        <f t="shared" si="450"/>
        <v>Módulo Interruptor SICA LIFE</v>
      </c>
      <c r="F2385" s="311">
        <v>50</v>
      </c>
      <c r="G2385" s="307" t="str">
        <f t="shared" si="451"/>
        <v>u</v>
      </c>
      <c r="H2385" s="352">
        <f t="shared" si="452"/>
        <v>7.7</v>
      </c>
      <c r="I2385" s="354" t="str">
        <f t="shared" si="453"/>
        <v>u</v>
      </c>
      <c r="J2385" s="350">
        <f t="shared" si="454"/>
        <v>385</v>
      </c>
      <c r="K2385" s="360" t="s">
        <v>2299</v>
      </c>
      <c r="L2385" s="20"/>
    </row>
    <row r="2386" spans="1:19">
      <c r="A2386" s="407" t="s">
        <v>1350</v>
      </c>
      <c r="D2386" s="18">
        <v>18</v>
      </c>
      <c r="E2386" s="26" t="str">
        <f t="shared" si="450"/>
        <v>Módulo Ciego SICA LIFE</v>
      </c>
      <c r="F2386" s="311">
        <v>350</v>
      </c>
      <c r="G2386" s="307" t="str">
        <f t="shared" si="451"/>
        <v>u</v>
      </c>
      <c r="H2386" s="352">
        <f t="shared" si="452"/>
        <v>2.4</v>
      </c>
      <c r="I2386" s="354" t="str">
        <f t="shared" si="453"/>
        <v>u</v>
      </c>
      <c r="J2386" s="350">
        <f t="shared" si="454"/>
        <v>840</v>
      </c>
      <c r="K2386" s="360" t="s">
        <v>2299</v>
      </c>
      <c r="L2386" s="20"/>
    </row>
    <row r="2387" spans="1:19">
      <c r="A2387" s="407" t="s">
        <v>1351</v>
      </c>
      <c r="D2387" s="18">
        <v>19</v>
      </c>
      <c r="E2387" s="26" t="str">
        <f t="shared" si="450"/>
        <v>Módulo Bastidor SICA LIFE</v>
      </c>
      <c r="F2387" s="311">
        <v>200</v>
      </c>
      <c r="G2387" s="307" t="str">
        <f t="shared" si="451"/>
        <v>u</v>
      </c>
      <c r="H2387" s="352">
        <f t="shared" si="452"/>
        <v>3.2</v>
      </c>
      <c r="I2387" s="354" t="str">
        <f t="shared" si="453"/>
        <v>u</v>
      </c>
      <c r="J2387" s="350">
        <f t="shared" si="454"/>
        <v>640</v>
      </c>
      <c r="K2387" s="360" t="s">
        <v>2299</v>
      </c>
      <c r="L2387" s="20"/>
    </row>
    <row r="2388" spans="1:19">
      <c r="A2388" s="14" t="s">
        <v>2419</v>
      </c>
      <c r="D2388" s="18">
        <v>20</v>
      </c>
      <c r="E2388" s="26" t="str">
        <f t="shared" si="450"/>
        <v>Accesorios Electricidad</v>
      </c>
      <c r="F2388" s="311">
        <v>25</v>
      </c>
      <c r="G2388" s="307" t="str">
        <f t="shared" si="451"/>
        <v>u</v>
      </c>
      <c r="H2388" s="352">
        <v>5000</v>
      </c>
      <c r="I2388" s="354" t="str">
        <f t="shared" si="453"/>
        <v>u</v>
      </c>
      <c r="J2388" s="350">
        <f t="shared" si="454"/>
        <v>125000</v>
      </c>
      <c r="K2388" s="360" t="s">
        <v>2299</v>
      </c>
      <c r="L2388" s="20"/>
    </row>
    <row r="2389" spans="1:19">
      <c r="A2389" s="14">
        <f>A2356+1</f>
        <v>51</v>
      </c>
      <c r="B2389" s="14" t="str">
        <f>"MA" &amp; TEXT(A2389,"##000")</f>
        <v>MA051</v>
      </c>
      <c r="D2389" s="18"/>
      <c r="E2389" s="591" t="s">
        <v>2302</v>
      </c>
      <c r="F2389" s="592"/>
      <c r="G2389" s="592"/>
      <c r="H2389" s="592"/>
      <c r="I2389" s="328"/>
      <c r="J2389" s="353">
        <f>SUM(J2369:J2388)</f>
        <v>170026</v>
      </c>
      <c r="K2389" s="365" t="str">
        <f>+F2366</f>
        <v>ud</v>
      </c>
      <c r="L2389" s="20"/>
      <c r="O2389" s="27" t="s">
        <v>1525</v>
      </c>
      <c r="P2389" s="110">
        <v>80000</v>
      </c>
    </row>
    <row r="2390" spans="1:19">
      <c r="D2390" s="18"/>
      <c r="E2390" s="593" t="s">
        <v>100</v>
      </c>
      <c r="F2390" s="594"/>
      <c r="G2390" s="594"/>
      <c r="H2390" s="594"/>
      <c r="I2390" s="594"/>
      <c r="J2390" s="595"/>
      <c r="K2390" s="347"/>
      <c r="L2390" s="20"/>
      <c r="O2390" s="27" t="s">
        <v>1524</v>
      </c>
      <c r="P2390" s="110">
        <v>0</v>
      </c>
    </row>
    <row r="2391" spans="1:19">
      <c r="A2391" s="14" t="s">
        <v>84</v>
      </c>
      <c r="D2391" s="18">
        <v>1</v>
      </c>
      <c r="E2391" s="26" t="str">
        <f>VLOOKUP($A2391,MATMO,2,FALSE)</f>
        <v>Oficial</v>
      </c>
      <c r="F2391" s="311">
        <v>1000</v>
      </c>
      <c r="G2391" s="307" t="str">
        <f>VLOOKUP($A2391,MATMO,3,FALSE)</f>
        <v>hs</v>
      </c>
      <c r="H2391" s="110">
        <f>VLOOKUP($A2391,MATMO,4,FALSE)*$Q$7</f>
        <v>55.38</v>
      </c>
      <c r="I2391" s="354" t="str">
        <f t="shared" ref="I2391:I2395" si="455">+G2391</f>
        <v>hs</v>
      </c>
      <c r="J2391" s="350">
        <f t="shared" ref="J2391:J2395" si="456">+H2391*F2391</f>
        <v>55380</v>
      </c>
      <c r="K2391" s="360" t="s">
        <v>2299</v>
      </c>
      <c r="L2391" s="20"/>
      <c r="M2391" s="14" t="s">
        <v>2006</v>
      </c>
      <c r="O2391" s="27" t="s">
        <v>1526</v>
      </c>
      <c r="P2391" s="110">
        <v>0</v>
      </c>
    </row>
    <row r="2392" spans="1:19">
      <c r="A2392" s="14" t="s">
        <v>85</v>
      </c>
      <c r="D2392" s="18">
        <v>2</v>
      </c>
      <c r="E2392" s="26" t="str">
        <f>VLOOKUP($A2392,MATMO,2,FALSE)</f>
        <v>Ayudante</v>
      </c>
      <c r="F2392" s="311">
        <v>470</v>
      </c>
      <c r="G2392" s="307" t="str">
        <f>VLOOKUP($A2392,MATMO,3,FALSE)</f>
        <v>hs</v>
      </c>
      <c r="H2392" s="110">
        <f>VLOOKUP($A2392,MATMO,4,FALSE)*$Q$7</f>
        <v>46.87</v>
      </c>
      <c r="I2392" s="354" t="str">
        <f t="shared" si="455"/>
        <v>hs</v>
      </c>
      <c r="J2392" s="350">
        <f t="shared" si="456"/>
        <v>22028.899999999998</v>
      </c>
      <c r="K2392" s="360" t="s">
        <v>2299</v>
      </c>
      <c r="L2392" s="20"/>
      <c r="O2392" s="27" t="s">
        <v>1527</v>
      </c>
      <c r="P2392" s="110">
        <v>0</v>
      </c>
    </row>
    <row r="2393" spans="1:19">
      <c r="A2393" s="14" t="s">
        <v>2311</v>
      </c>
      <c r="D2393" s="18">
        <v>3</v>
      </c>
      <c r="E2393" s="26" t="str">
        <f>VLOOKUP($A2393,MATMO,2,FALSE)</f>
        <v>Cargas Sociales Oficial</v>
      </c>
      <c r="F2393" s="311">
        <f>+F2391</f>
        <v>1000</v>
      </c>
      <c r="G2393" s="307" t="str">
        <f>VLOOKUP($A2393,MATMO,3,FALSE)</f>
        <v>hs</v>
      </c>
      <c r="H2393" s="110">
        <f>VLOOKUP($A2393,MATMO,4,FALSE)*$Q$7</f>
        <v>52.742782499999997</v>
      </c>
      <c r="I2393" s="354" t="str">
        <f t="shared" si="455"/>
        <v>hs</v>
      </c>
      <c r="J2393" s="350">
        <f t="shared" si="456"/>
        <v>52742.782499999994</v>
      </c>
      <c r="K2393" s="360" t="s">
        <v>2299</v>
      </c>
      <c r="L2393" s="20"/>
      <c r="O2393" s="27"/>
      <c r="P2393" s="110">
        <v>0</v>
      </c>
    </row>
    <row r="2394" spans="1:19">
      <c r="A2394" s="14" t="s">
        <v>2312</v>
      </c>
      <c r="D2394" s="18">
        <v>4</v>
      </c>
      <c r="E2394" s="26" t="str">
        <f>VLOOKUP($A2394,MATMO,2,FALSE)</f>
        <v>Cargas Sociales Ayudante</v>
      </c>
      <c r="F2394" s="311">
        <f>+F2392</f>
        <v>470</v>
      </c>
      <c r="G2394" s="307" t="str">
        <f>VLOOKUP($A2394,MATMO,3,FALSE)</f>
        <v>hs</v>
      </c>
      <c r="H2394" s="110">
        <f>VLOOKUP($A2394,MATMO,4,FALSE)*$Q$7</f>
        <v>45.108248750000001</v>
      </c>
      <c r="I2394" s="354" t="str">
        <f t="shared" si="455"/>
        <v>hs</v>
      </c>
      <c r="J2394" s="350">
        <f t="shared" si="456"/>
        <v>21200.8769125</v>
      </c>
      <c r="K2394" s="360" t="s">
        <v>2299</v>
      </c>
      <c r="L2394" s="20"/>
      <c r="O2394" s="27"/>
      <c r="P2394" s="110">
        <v>0</v>
      </c>
    </row>
    <row r="2395" spans="1:19" ht="16.5" thickBot="1">
      <c r="A2395" s="14" t="s">
        <v>83</v>
      </c>
      <c r="D2395" s="18">
        <v>5</v>
      </c>
      <c r="E2395" s="26" t="str">
        <f>VLOOKUP($A2395,MATMO,2,FALSE)</f>
        <v>-</v>
      </c>
      <c r="F2395" s="311"/>
      <c r="G2395" s="307" t="str">
        <f>VLOOKUP($A2395,MATMO,3,FALSE)</f>
        <v>-</v>
      </c>
      <c r="H2395" s="110">
        <f>VLOOKUP($A2395,MATMO,4,FALSE)*$Q$7</f>
        <v>0</v>
      </c>
      <c r="I2395" s="537" t="str">
        <f t="shared" si="455"/>
        <v>-</v>
      </c>
      <c r="J2395" s="538">
        <f t="shared" si="456"/>
        <v>0</v>
      </c>
      <c r="K2395" s="539" t="s">
        <v>2299</v>
      </c>
      <c r="L2395" s="20"/>
      <c r="O2395" s="27"/>
      <c r="P2395" s="110">
        <v>0</v>
      </c>
      <c r="R2395" s="29" t="s">
        <v>2307</v>
      </c>
    </row>
    <row r="2396" spans="1:19" ht="16.5" thickBot="1">
      <c r="A2396" s="14">
        <f>A2356+1</f>
        <v>51</v>
      </c>
      <c r="B2396" s="14" t="str">
        <f>"MO" &amp; TEXT(A2396,"##000")</f>
        <v>MO051</v>
      </c>
      <c r="D2396" s="18"/>
      <c r="E2396" s="591" t="s">
        <v>2301</v>
      </c>
      <c r="F2396" s="592"/>
      <c r="G2396" s="592"/>
      <c r="H2396" s="592"/>
      <c r="I2396" s="328"/>
      <c r="J2396" s="362">
        <f>SUM(J2391:J2395)</f>
        <v>151352.55941250001</v>
      </c>
      <c r="K2396" s="365" t="str">
        <f>+G2391</f>
        <v>hs</v>
      </c>
      <c r="L2396" s="20"/>
      <c r="N2396" s="111">
        <f>+P2396+R2396</f>
        <v>152000</v>
      </c>
      <c r="O2396" s="27"/>
      <c r="P2396" s="27">
        <f>SUM(P2389:P2395)</f>
        <v>80000</v>
      </c>
      <c r="Q2396" s="26">
        <v>0.9</v>
      </c>
      <c r="R2396" s="287">
        <f>+Q2396*P2396</f>
        <v>72000</v>
      </c>
      <c r="S2396" s="288"/>
    </row>
    <row r="2397" spans="1:19">
      <c r="D2397" s="18"/>
      <c r="E2397" s="593" t="s">
        <v>101</v>
      </c>
      <c r="F2397" s="594"/>
      <c r="G2397" s="594"/>
      <c r="H2397" s="594"/>
      <c r="I2397" s="594"/>
      <c r="J2397" s="595"/>
      <c r="K2397" s="347"/>
      <c r="L2397" s="20"/>
      <c r="P2397" s="14" t="s">
        <v>2308</v>
      </c>
    </row>
    <row r="2398" spans="1:19">
      <c r="A2398" s="14" t="s">
        <v>119</v>
      </c>
      <c r="D2398" s="18">
        <v>1</v>
      </c>
      <c r="E2398" s="26" t="str">
        <f>VLOOKUP($A2398,MATMO,2,FALSE)</f>
        <v>Herramientas de Mano</v>
      </c>
      <c r="F2398" s="311">
        <v>1</v>
      </c>
      <c r="G2398" s="307" t="str">
        <f>VLOOKUP($A2398,MATMO,3,FALSE)</f>
        <v>gl</v>
      </c>
      <c r="H2398" s="110">
        <f>+(J2389+J2396)*$Q$5</f>
        <v>12855.1423765</v>
      </c>
      <c r="I2398" s="345" t="str">
        <f>+G2398</f>
        <v>gl</v>
      </c>
      <c r="J2398" s="350">
        <f t="shared" ref="J2398:J2402" si="457">+H2398*F2398</f>
        <v>12855.1423765</v>
      </c>
      <c r="K2398" s="360" t="s">
        <v>2299</v>
      </c>
      <c r="L2398" s="20"/>
      <c r="M2398" s="14" t="s">
        <v>2004</v>
      </c>
    </row>
    <row r="2399" spans="1:19">
      <c r="A2399" s="14" t="s">
        <v>118</v>
      </c>
      <c r="D2399" s="18">
        <v>2</v>
      </c>
      <c r="E2399" s="26" t="str">
        <f>VLOOKUP($A2399,MATMO,2,FALSE)</f>
        <v>-</v>
      </c>
      <c r="F2399" s="311"/>
      <c r="G2399" s="307" t="str">
        <f>VLOOKUP($A2399,MATMO,3,FALSE)</f>
        <v>-</v>
      </c>
      <c r="H2399" s="110">
        <f>VLOOKUP($A2399,MATMO,4,FALSE)*$Q$6</f>
        <v>0</v>
      </c>
      <c r="I2399" s="543" t="str">
        <f t="shared" ref="I2399:I2402" si="458">+G2399</f>
        <v>-</v>
      </c>
      <c r="J2399" s="538">
        <f t="shared" si="457"/>
        <v>0</v>
      </c>
      <c r="K2399" s="539" t="s">
        <v>2299</v>
      </c>
      <c r="L2399" s="20"/>
    </row>
    <row r="2400" spans="1:19">
      <c r="A2400" s="14" t="s">
        <v>118</v>
      </c>
      <c r="D2400" s="18">
        <v>3</v>
      </c>
      <c r="E2400" s="26" t="str">
        <f>VLOOKUP($A2400,MATMO,2,FALSE)</f>
        <v>-</v>
      </c>
      <c r="F2400" s="311"/>
      <c r="G2400" s="307" t="str">
        <f>VLOOKUP($A2400,MATMO,3,FALSE)</f>
        <v>-</v>
      </c>
      <c r="H2400" s="110">
        <f>VLOOKUP($A2400,MATMO,4,FALSE)*$Q$6</f>
        <v>0</v>
      </c>
      <c r="I2400" s="543" t="str">
        <f t="shared" si="458"/>
        <v>-</v>
      </c>
      <c r="J2400" s="538">
        <f t="shared" si="457"/>
        <v>0</v>
      </c>
      <c r="K2400" s="539" t="s">
        <v>2299</v>
      </c>
      <c r="L2400" s="20"/>
    </row>
    <row r="2401" spans="1:13">
      <c r="A2401" s="14" t="s">
        <v>118</v>
      </c>
      <c r="D2401" s="18">
        <v>4</v>
      </c>
      <c r="E2401" s="26" t="str">
        <f>VLOOKUP($A2401,MATMO,2,FALSE)</f>
        <v>-</v>
      </c>
      <c r="F2401" s="311"/>
      <c r="G2401" s="307" t="str">
        <f>VLOOKUP($A2401,MATMO,3,FALSE)</f>
        <v>-</v>
      </c>
      <c r="H2401" s="110">
        <f>VLOOKUP($A2401,MATMO,4,FALSE)*$Q$6</f>
        <v>0</v>
      </c>
      <c r="I2401" s="543" t="str">
        <f t="shared" si="458"/>
        <v>-</v>
      </c>
      <c r="J2401" s="538">
        <f t="shared" si="457"/>
        <v>0</v>
      </c>
      <c r="K2401" s="539" t="s">
        <v>2299</v>
      </c>
      <c r="L2401" s="20"/>
    </row>
    <row r="2402" spans="1:13">
      <c r="A2402" s="14" t="s">
        <v>118</v>
      </c>
      <c r="D2402" s="18">
        <v>5</v>
      </c>
      <c r="E2402" s="26" t="str">
        <f>VLOOKUP($A2402,MATMO,2,FALSE)</f>
        <v>-</v>
      </c>
      <c r="F2402" s="311"/>
      <c r="G2402" s="307" t="str">
        <f>VLOOKUP($A2402,MATMO,3,FALSE)</f>
        <v>-</v>
      </c>
      <c r="H2402" s="110">
        <f>VLOOKUP($A2402,MATMO,4,FALSE)*$Q$6</f>
        <v>0</v>
      </c>
      <c r="I2402" s="543" t="str">
        <f t="shared" si="458"/>
        <v>-</v>
      </c>
      <c r="J2402" s="538">
        <f t="shared" si="457"/>
        <v>0</v>
      </c>
      <c r="K2402" s="539" t="s">
        <v>2299</v>
      </c>
      <c r="L2402" s="20"/>
    </row>
    <row r="2403" spans="1:13">
      <c r="A2403" s="14">
        <f>A2356+1</f>
        <v>51</v>
      </c>
      <c r="B2403" s="14" t="str">
        <f>"E" &amp; TEXT(A2403,"##000")</f>
        <v>E051</v>
      </c>
      <c r="D2403" s="18"/>
      <c r="E2403" s="591" t="s">
        <v>2300</v>
      </c>
      <c r="F2403" s="592"/>
      <c r="G2403" s="592"/>
      <c r="H2403" s="592"/>
      <c r="I2403" s="328"/>
      <c r="J2403" s="362">
        <f>SUM(J2398:J2402)</f>
        <v>12855.1423765</v>
      </c>
      <c r="K2403" s="365" t="s">
        <v>116</v>
      </c>
      <c r="L2403" s="20"/>
    </row>
    <row r="2404" spans="1:13">
      <c r="D2404" s="18"/>
      <c r="E2404" s="596"/>
      <c r="F2404" s="597"/>
      <c r="G2404" s="597"/>
      <c r="H2404" s="597"/>
      <c r="I2404" s="597"/>
      <c r="J2404" s="598"/>
      <c r="K2404" s="348"/>
      <c r="L2404" s="20"/>
    </row>
    <row r="2405" spans="1:13">
      <c r="D2405" s="18"/>
      <c r="E2405" s="591" t="s">
        <v>2306</v>
      </c>
      <c r="F2405" s="592"/>
      <c r="G2405" s="592"/>
      <c r="H2405" s="592"/>
      <c r="I2405" s="328"/>
      <c r="J2405" s="308">
        <f>+J2403+J2396+J2389</f>
        <v>334233.70178900001</v>
      </c>
      <c r="K2405" s="365" t="str">
        <f>+F2366</f>
        <v>ud</v>
      </c>
      <c r="L2405" s="20"/>
    </row>
    <row r="2406" spans="1:13">
      <c r="D2406" s="18"/>
      <c r="E2406" s="591" t="s">
        <v>2305</v>
      </c>
      <c r="F2406" s="592"/>
      <c r="G2406" s="592"/>
      <c r="H2406" s="592"/>
      <c r="I2406" s="406">
        <f>+$Q$9</f>
        <v>1.6902999999999999</v>
      </c>
      <c r="J2406" s="308">
        <f>+$Q$9*J2405</f>
        <v>564955.22613394668</v>
      </c>
      <c r="K2406" s="365" t="str">
        <f>+F2366</f>
        <v>ud</v>
      </c>
      <c r="L2406" s="20"/>
    </row>
    <row r="2407" spans="1:13">
      <c r="A2407" s="14">
        <f>A2360+1</f>
        <v>51</v>
      </c>
      <c r="B2407" s="14" t="str">
        <f>"TR" &amp; TEXT(A2407,"##000")</f>
        <v>TR051</v>
      </c>
      <c r="C2407" s="14">
        <f>+C2360+1</f>
        <v>51</v>
      </c>
      <c r="D2407" s="18"/>
      <c r="E2407" s="591" t="s">
        <v>2304</v>
      </c>
      <c r="F2407" s="592"/>
      <c r="G2407" s="592"/>
      <c r="H2407" s="592"/>
      <c r="I2407" s="328"/>
      <c r="J2407" s="308">
        <f>+J2406</f>
        <v>564955.22613394668</v>
      </c>
      <c r="K2407" s="365" t="str">
        <f>+F2366</f>
        <v>ud</v>
      </c>
      <c r="L2407" s="20"/>
    </row>
    <row r="2408" spans="1:13" ht="16.5" thickBot="1">
      <c r="D2408" s="21"/>
      <c r="E2408" s="30"/>
      <c r="F2408" s="30"/>
      <c r="G2408" s="30"/>
      <c r="H2408" s="30"/>
      <c r="I2408" s="30"/>
      <c r="J2408" s="30"/>
      <c r="K2408" s="349"/>
      <c r="L2408" s="22"/>
    </row>
    <row r="2409" spans="1:13" ht="16.5" thickTop="1">
      <c r="D2409" s="15"/>
      <c r="E2409" s="16"/>
      <c r="F2409" s="16"/>
      <c r="G2409" s="16"/>
      <c r="H2409" s="16"/>
      <c r="I2409" s="16"/>
      <c r="J2409" s="16"/>
      <c r="K2409" s="16"/>
      <c r="L2409" s="17"/>
    </row>
    <row r="2410" spans="1:13">
      <c r="A2410" s="14" t="s">
        <v>1879</v>
      </c>
      <c r="D2410" s="18"/>
      <c r="E2410" s="23" t="s">
        <v>95</v>
      </c>
      <c r="F2410" s="364" t="str">
        <f>VLOOKUP($A2410,DATRUB,3,FALSE)</f>
        <v>RUBRO XII:</v>
      </c>
      <c r="G2410" s="599" t="str">
        <f>VLOOKUP($A2410,DATRUB,4,FALSE)</f>
        <v>INSTALACIÓN ELÉCTRICA</v>
      </c>
      <c r="H2410" s="599"/>
      <c r="I2410" s="599"/>
      <c r="J2410" s="599"/>
      <c r="K2410" s="599"/>
      <c r="L2410" s="20"/>
    </row>
    <row r="2411" spans="1:13" ht="35.1" customHeight="1">
      <c r="A2411" s="14" t="s">
        <v>1891</v>
      </c>
      <c r="D2411" s="18"/>
      <c r="E2411" s="23" t="s">
        <v>96</v>
      </c>
      <c r="F2411" s="399">
        <f>VLOOKUP($A2411,DATRUB,3,FALSE)</f>
        <v>12.2</v>
      </c>
      <c r="G2411" s="599" t="str">
        <f>VLOOKUP($A2411,DATRUB,4,FALSE)</f>
        <v>Medidor trifasico, pilastra y tablero de entrada</v>
      </c>
      <c r="H2411" s="599"/>
      <c r="I2411" s="599"/>
      <c r="J2411" s="599"/>
      <c r="K2411" s="599"/>
      <c r="L2411" s="20"/>
    </row>
    <row r="2412" spans="1:13" ht="35.1" customHeight="1">
      <c r="A2412" s="14" t="s">
        <v>1891</v>
      </c>
      <c r="D2412" s="18"/>
      <c r="E2412" s="23" t="s">
        <v>97</v>
      </c>
      <c r="F2412" s="399">
        <f>VLOOKUP($A2412,DATRUB,3,FALSE)</f>
        <v>12.2</v>
      </c>
      <c r="G2412" s="599" t="str">
        <f>VLOOKUP($A2412,DATRUB,4,FALSE)</f>
        <v>Medidor trifasico, pilastra y tablero de entrada</v>
      </c>
      <c r="H2412" s="599"/>
      <c r="I2412" s="599"/>
      <c r="J2412" s="599"/>
      <c r="K2412" s="599"/>
      <c r="L2412" s="20"/>
    </row>
    <row r="2413" spans="1:13">
      <c r="D2413" s="18"/>
      <c r="E2413" s="23" t="s">
        <v>98</v>
      </c>
      <c r="F2413" s="364" t="str">
        <f>VLOOKUP($A2412,DATRUB,5,FALSE)</f>
        <v>gl</v>
      </c>
      <c r="G2413" s="600"/>
      <c r="H2413" s="600"/>
      <c r="I2413" s="600"/>
      <c r="J2413" s="600"/>
      <c r="K2413" s="600"/>
      <c r="L2413" s="20"/>
    </row>
    <row r="2414" spans="1:13">
      <c r="D2414" s="18"/>
      <c r="E2414" s="364" t="s">
        <v>1158</v>
      </c>
      <c r="F2414" s="363" t="s">
        <v>1250</v>
      </c>
      <c r="G2414" s="364" t="s">
        <v>24</v>
      </c>
      <c r="H2414" s="364" t="s">
        <v>25</v>
      </c>
      <c r="I2414" s="364" t="s">
        <v>24</v>
      </c>
      <c r="J2414" s="364" t="s">
        <v>2298</v>
      </c>
      <c r="K2414" s="364" t="s">
        <v>24</v>
      </c>
      <c r="L2414" s="20"/>
    </row>
    <row r="2415" spans="1:13">
      <c r="D2415" s="18"/>
      <c r="E2415" s="593" t="s">
        <v>99</v>
      </c>
      <c r="F2415" s="594"/>
      <c r="G2415" s="594"/>
      <c r="H2415" s="594"/>
      <c r="I2415" s="594"/>
      <c r="J2415" s="594"/>
      <c r="K2415" s="595"/>
      <c r="L2415" s="20"/>
    </row>
    <row r="2416" spans="1:13">
      <c r="A2416" s="14" t="s">
        <v>1354</v>
      </c>
      <c r="D2416" s="18">
        <v>1</v>
      </c>
      <c r="E2416" s="355" t="str">
        <f t="shared" ref="E2416:E2435" si="459">VLOOKUP($A2416,MATMO,2,FALSE)</f>
        <v>Caja Medidor Trifásico</v>
      </c>
      <c r="F2416" s="356">
        <v>1</v>
      </c>
      <c r="G2416" s="357" t="str">
        <f t="shared" ref="G2416:G2435" si="460">VLOOKUP($A2416,MATMO,3,FALSE)</f>
        <v>u</v>
      </c>
      <c r="H2416" s="358">
        <f t="shared" ref="H2416:H2435" si="461">VLOOKUP($A2416,MATMO,4,FALSE)*$Q$6</f>
        <v>422</v>
      </c>
      <c r="I2416" s="359" t="str">
        <f t="shared" ref="I2416:I2435" si="462">+G2416</f>
        <v>u</v>
      </c>
      <c r="J2416" s="361">
        <f>+H2416*F2416</f>
        <v>422</v>
      </c>
      <c r="K2416" s="360" t="s">
        <v>2299</v>
      </c>
      <c r="L2416" s="20"/>
      <c r="M2416" s="14" t="s">
        <v>2005</v>
      </c>
    </row>
    <row r="2417" spans="1:12">
      <c r="A2417" s="14" t="s">
        <v>1355</v>
      </c>
      <c r="D2417" s="18">
        <v>2</v>
      </c>
      <c r="E2417" s="26" t="str">
        <f t="shared" si="459"/>
        <v>Caño Galvanizado 1 1/2</v>
      </c>
      <c r="F2417" s="311">
        <v>1</v>
      </c>
      <c r="G2417" s="307" t="str">
        <f t="shared" si="460"/>
        <v>u</v>
      </c>
      <c r="H2417" s="351">
        <f t="shared" si="461"/>
        <v>205</v>
      </c>
      <c r="I2417" s="354" t="str">
        <f t="shared" si="462"/>
        <v>u</v>
      </c>
      <c r="J2417" s="350">
        <f t="shared" ref="J2417:J2435" si="463">+H2417*F2417</f>
        <v>205</v>
      </c>
      <c r="K2417" s="360" t="s">
        <v>2299</v>
      </c>
      <c r="L2417" s="20"/>
    </row>
    <row r="2418" spans="1:12">
      <c r="A2418" s="14" t="s">
        <v>1356</v>
      </c>
      <c r="D2418" s="18">
        <v>3</v>
      </c>
      <c r="E2418" s="26" t="str">
        <f t="shared" si="459"/>
        <v>Javalina 7/8</v>
      </c>
      <c r="F2418" s="311">
        <v>1</v>
      </c>
      <c r="G2418" s="307" t="str">
        <f t="shared" si="460"/>
        <v>u</v>
      </c>
      <c r="H2418" s="351">
        <f t="shared" si="461"/>
        <v>88</v>
      </c>
      <c r="I2418" s="354" t="str">
        <f t="shared" si="462"/>
        <v>u</v>
      </c>
      <c r="J2418" s="350">
        <f t="shared" si="463"/>
        <v>88</v>
      </c>
      <c r="K2418" s="360" t="s">
        <v>2299</v>
      </c>
      <c r="L2418" s="20"/>
    </row>
    <row r="2419" spans="1:12">
      <c r="A2419" s="14" t="s">
        <v>1357</v>
      </c>
      <c r="D2419" s="18">
        <v>4</v>
      </c>
      <c r="E2419" s="26" t="str">
        <f t="shared" si="459"/>
        <v>Cable Desnudo 10 mm</v>
      </c>
      <c r="F2419" s="311">
        <v>20</v>
      </c>
      <c r="G2419" s="307" t="str">
        <f t="shared" si="460"/>
        <v>m</v>
      </c>
      <c r="H2419" s="351">
        <f t="shared" si="461"/>
        <v>14</v>
      </c>
      <c r="I2419" s="354" t="str">
        <f t="shared" si="462"/>
        <v>m</v>
      </c>
      <c r="J2419" s="350">
        <f t="shared" si="463"/>
        <v>280</v>
      </c>
      <c r="K2419" s="360" t="s">
        <v>2299</v>
      </c>
      <c r="L2419" s="20"/>
    </row>
    <row r="2420" spans="1:12">
      <c r="A2420" s="14" t="s">
        <v>1358</v>
      </c>
      <c r="D2420" s="18">
        <v>5</v>
      </c>
      <c r="E2420" s="26" t="str">
        <f t="shared" si="459"/>
        <v>Gabinete 600 x 450 x 120</v>
      </c>
      <c r="F2420" s="311">
        <v>2</v>
      </c>
      <c r="G2420" s="307" t="str">
        <f t="shared" si="460"/>
        <v>u</v>
      </c>
      <c r="H2420" s="351">
        <f t="shared" si="461"/>
        <v>1200</v>
      </c>
      <c r="I2420" s="354" t="str">
        <f t="shared" si="462"/>
        <v>u</v>
      </c>
      <c r="J2420" s="350">
        <f t="shared" si="463"/>
        <v>2400</v>
      </c>
      <c r="K2420" s="360" t="s">
        <v>2299</v>
      </c>
      <c r="L2420" s="20"/>
    </row>
    <row r="2421" spans="1:12">
      <c r="A2421" s="14" t="s">
        <v>1359</v>
      </c>
      <c r="D2421" s="18">
        <v>6</v>
      </c>
      <c r="E2421" s="26" t="str">
        <f t="shared" si="459"/>
        <v>Térmica Schneider DOMAE 2 x 10 A</v>
      </c>
      <c r="F2421" s="311">
        <v>10</v>
      </c>
      <c r="G2421" s="307" t="str">
        <f t="shared" si="460"/>
        <v>u</v>
      </c>
      <c r="H2421" s="351">
        <f t="shared" si="461"/>
        <v>200</v>
      </c>
      <c r="I2421" s="354" t="str">
        <f t="shared" si="462"/>
        <v>u</v>
      </c>
      <c r="J2421" s="350">
        <f t="shared" si="463"/>
        <v>2000</v>
      </c>
      <c r="K2421" s="360" t="s">
        <v>2299</v>
      </c>
      <c r="L2421" s="20"/>
    </row>
    <row r="2422" spans="1:12">
      <c r="A2422" s="14" t="s">
        <v>1360</v>
      </c>
      <c r="D2422" s="18">
        <v>7</v>
      </c>
      <c r="E2422" s="26" t="str">
        <f t="shared" si="459"/>
        <v>Térmica Schneider DOMAE 2 x 16 A</v>
      </c>
      <c r="F2422" s="311">
        <v>9</v>
      </c>
      <c r="G2422" s="307" t="str">
        <f t="shared" si="460"/>
        <v>u</v>
      </c>
      <c r="H2422" s="351">
        <f t="shared" si="461"/>
        <v>200</v>
      </c>
      <c r="I2422" s="354" t="str">
        <f t="shared" si="462"/>
        <v>u</v>
      </c>
      <c r="J2422" s="350">
        <f t="shared" si="463"/>
        <v>1800</v>
      </c>
      <c r="K2422" s="360" t="s">
        <v>2299</v>
      </c>
      <c r="L2422" s="20"/>
    </row>
    <row r="2423" spans="1:12">
      <c r="A2423" s="14" t="s">
        <v>1361</v>
      </c>
      <c r="D2423" s="18">
        <v>8</v>
      </c>
      <c r="E2423" s="26" t="str">
        <f t="shared" si="459"/>
        <v>Térmica Schneider DOMAE 2 x 40 A</v>
      </c>
      <c r="F2423" s="311">
        <v>8</v>
      </c>
      <c r="G2423" s="307" t="str">
        <f t="shared" si="460"/>
        <v>u</v>
      </c>
      <c r="H2423" s="351">
        <f t="shared" si="461"/>
        <v>260</v>
      </c>
      <c r="I2423" s="354" t="str">
        <f t="shared" si="462"/>
        <v>u</v>
      </c>
      <c r="J2423" s="350">
        <f t="shared" si="463"/>
        <v>2080</v>
      </c>
      <c r="K2423" s="360" t="s">
        <v>2299</v>
      </c>
      <c r="L2423" s="20"/>
    </row>
    <row r="2424" spans="1:12">
      <c r="A2424" s="14" t="s">
        <v>1362</v>
      </c>
      <c r="D2424" s="18">
        <v>9</v>
      </c>
      <c r="E2424" s="26" t="str">
        <f t="shared" si="459"/>
        <v>Térmica Schneider DOMAE 4 x 50 A</v>
      </c>
      <c r="F2424" s="311">
        <v>1</v>
      </c>
      <c r="G2424" s="307" t="str">
        <f t="shared" si="460"/>
        <v>u</v>
      </c>
      <c r="H2424" s="351">
        <f t="shared" si="461"/>
        <v>992</v>
      </c>
      <c r="I2424" s="354" t="str">
        <f t="shared" si="462"/>
        <v>u</v>
      </c>
      <c r="J2424" s="350">
        <f t="shared" si="463"/>
        <v>992</v>
      </c>
      <c r="K2424" s="360" t="s">
        <v>2299</v>
      </c>
      <c r="L2424" s="20"/>
    </row>
    <row r="2425" spans="1:12">
      <c r="A2425" s="14" t="s">
        <v>1363</v>
      </c>
      <c r="D2425" s="18">
        <v>10</v>
      </c>
      <c r="E2425" s="26" t="str">
        <f t="shared" si="459"/>
        <v>Térmica Schneider DOMAE 4 x 100 A</v>
      </c>
      <c r="F2425" s="311">
        <v>1</v>
      </c>
      <c r="G2425" s="307" t="str">
        <f t="shared" si="460"/>
        <v>u</v>
      </c>
      <c r="H2425" s="351">
        <f t="shared" si="461"/>
        <v>4550</v>
      </c>
      <c r="I2425" s="354" t="str">
        <f t="shared" si="462"/>
        <v>u</v>
      </c>
      <c r="J2425" s="350">
        <f t="shared" si="463"/>
        <v>4550</v>
      </c>
      <c r="K2425" s="360" t="s">
        <v>2299</v>
      </c>
      <c r="L2425" s="20"/>
    </row>
    <row r="2426" spans="1:12">
      <c r="A2426" s="14" t="s">
        <v>1364</v>
      </c>
      <c r="D2426" s="18">
        <v>11</v>
      </c>
      <c r="E2426" s="26" t="str">
        <f t="shared" si="459"/>
        <v>Disyuntor Schneider DOMAE 4 x 63 A</v>
      </c>
      <c r="F2426" s="311">
        <v>1</v>
      </c>
      <c r="G2426" s="307" t="str">
        <f t="shared" si="460"/>
        <v>u</v>
      </c>
      <c r="H2426" s="351">
        <f t="shared" si="461"/>
        <v>992</v>
      </c>
      <c r="I2426" s="354" t="str">
        <f t="shared" si="462"/>
        <v>u</v>
      </c>
      <c r="J2426" s="350">
        <f t="shared" si="463"/>
        <v>992</v>
      </c>
      <c r="K2426" s="360" t="s">
        <v>2299</v>
      </c>
      <c r="L2426" s="20"/>
    </row>
    <row r="2427" spans="1:12">
      <c r="A2427" s="14" t="s">
        <v>1365</v>
      </c>
      <c r="D2427" s="18">
        <v>12</v>
      </c>
      <c r="E2427" s="26" t="str">
        <f t="shared" si="459"/>
        <v>Disyuntor Schneider DOMAE 2 x 40 A</v>
      </c>
      <c r="F2427" s="311">
        <v>4</v>
      </c>
      <c r="G2427" s="307" t="str">
        <f t="shared" si="460"/>
        <v>u</v>
      </c>
      <c r="H2427" s="352">
        <f t="shared" si="461"/>
        <v>885</v>
      </c>
      <c r="I2427" s="354" t="str">
        <f t="shared" si="462"/>
        <v>u</v>
      </c>
      <c r="J2427" s="350">
        <f t="shared" si="463"/>
        <v>3540</v>
      </c>
      <c r="K2427" s="360" t="s">
        <v>2299</v>
      </c>
      <c r="L2427" s="20"/>
    </row>
    <row r="2428" spans="1:12">
      <c r="A2428" s="14" t="s">
        <v>1366</v>
      </c>
      <c r="D2428" s="18">
        <v>13</v>
      </c>
      <c r="E2428" s="26" t="str">
        <f t="shared" si="459"/>
        <v>Accesorios Electricidad</v>
      </c>
      <c r="F2428" s="311">
        <v>5</v>
      </c>
      <c r="G2428" s="307" t="str">
        <f t="shared" si="460"/>
        <v>u</v>
      </c>
      <c r="H2428" s="352">
        <f t="shared" si="461"/>
        <v>200</v>
      </c>
      <c r="I2428" s="354" t="str">
        <f t="shared" si="462"/>
        <v>u</v>
      </c>
      <c r="J2428" s="350">
        <f t="shared" si="463"/>
        <v>1000</v>
      </c>
      <c r="K2428" s="360" t="s">
        <v>2299</v>
      </c>
      <c r="L2428" s="20"/>
    </row>
    <row r="2429" spans="1:12">
      <c r="A2429" s="14" t="s">
        <v>31</v>
      </c>
      <c r="D2429" s="18">
        <v>14</v>
      </c>
      <c r="E2429" s="26" t="str">
        <f t="shared" si="459"/>
        <v>-</v>
      </c>
      <c r="F2429" s="311"/>
      <c r="G2429" s="307" t="str">
        <f t="shared" si="460"/>
        <v>-</v>
      </c>
      <c r="H2429" s="352">
        <f t="shared" si="461"/>
        <v>0</v>
      </c>
      <c r="I2429" s="537" t="str">
        <f t="shared" si="462"/>
        <v>-</v>
      </c>
      <c r="J2429" s="538">
        <f t="shared" si="463"/>
        <v>0</v>
      </c>
      <c r="K2429" s="539" t="s">
        <v>2299</v>
      </c>
      <c r="L2429" s="20"/>
    </row>
    <row r="2430" spans="1:12">
      <c r="A2430" s="14" t="s">
        <v>31</v>
      </c>
      <c r="D2430" s="18">
        <v>15</v>
      </c>
      <c r="E2430" s="26" t="str">
        <f t="shared" si="459"/>
        <v>-</v>
      </c>
      <c r="F2430" s="311"/>
      <c r="G2430" s="307" t="str">
        <f t="shared" si="460"/>
        <v>-</v>
      </c>
      <c r="H2430" s="352">
        <f t="shared" si="461"/>
        <v>0</v>
      </c>
      <c r="I2430" s="537" t="str">
        <f t="shared" si="462"/>
        <v>-</v>
      </c>
      <c r="J2430" s="538">
        <f t="shared" si="463"/>
        <v>0</v>
      </c>
      <c r="K2430" s="539" t="s">
        <v>2299</v>
      </c>
      <c r="L2430" s="20"/>
    </row>
    <row r="2431" spans="1:12">
      <c r="A2431" s="14" t="s">
        <v>31</v>
      </c>
      <c r="D2431" s="18">
        <v>16</v>
      </c>
      <c r="E2431" s="26" t="str">
        <f t="shared" si="459"/>
        <v>-</v>
      </c>
      <c r="F2431" s="311"/>
      <c r="G2431" s="307" t="str">
        <f t="shared" si="460"/>
        <v>-</v>
      </c>
      <c r="H2431" s="352">
        <f t="shared" si="461"/>
        <v>0</v>
      </c>
      <c r="I2431" s="537" t="str">
        <f t="shared" si="462"/>
        <v>-</v>
      </c>
      <c r="J2431" s="538">
        <f t="shared" si="463"/>
        <v>0</v>
      </c>
      <c r="K2431" s="539" t="s">
        <v>2299</v>
      </c>
      <c r="L2431" s="20"/>
    </row>
    <row r="2432" spans="1:12">
      <c r="A2432" s="14" t="s">
        <v>31</v>
      </c>
      <c r="D2432" s="18">
        <v>17</v>
      </c>
      <c r="E2432" s="26" t="str">
        <f t="shared" si="459"/>
        <v>-</v>
      </c>
      <c r="F2432" s="311"/>
      <c r="G2432" s="307" t="str">
        <f t="shared" si="460"/>
        <v>-</v>
      </c>
      <c r="H2432" s="352">
        <f t="shared" si="461"/>
        <v>0</v>
      </c>
      <c r="I2432" s="537" t="str">
        <f t="shared" si="462"/>
        <v>-</v>
      </c>
      <c r="J2432" s="538">
        <f t="shared" si="463"/>
        <v>0</v>
      </c>
      <c r="K2432" s="539" t="s">
        <v>2299</v>
      </c>
      <c r="L2432" s="20"/>
    </row>
    <row r="2433" spans="1:19">
      <c r="A2433" s="14" t="s">
        <v>31</v>
      </c>
      <c r="D2433" s="18">
        <v>18</v>
      </c>
      <c r="E2433" s="26" t="str">
        <f t="shared" si="459"/>
        <v>-</v>
      </c>
      <c r="F2433" s="311"/>
      <c r="G2433" s="307" t="str">
        <f t="shared" si="460"/>
        <v>-</v>
      </c>
      <c r="H2433" s="352">
        <f t="shared" si="461"/>
        <v>0</v>
      </c>
      <c r="I2433" s="537" t="str">
        <f t="shared" si="462"/>
        <v>-</v>
      </c>
      <c r="J2433" s="538">
        <f t="shared" si="463"/>
        <v>0</v>
      </c>
      <c r="K2433" s="539" t="s">
        <v>2299</v>
      </c>
      <c r="L2433" s="20"/>
    </row>
    <row r="2434" spans="1:19">
      <c r="A2434" s="14" t="s">
        <v>31</v>
      </c>
      <c r="D2434" s="18">
        <v>19</v>
      </c>
      <c r="E2434" s="26" t="str">
        <f t="shared" si="459"/>
        <v>-</v>
      </c>
      <c r="F2434" s="311"/>
      <c r="G2434" s="307" t="str">
        <f t="shared" si="460"/>
        <v>-</v>
      </c>
      <c r="H2434" s="352">
        <f t="shared" si="461"/>
        <v>0</v>
      </c>
      <c r="I2434" s="537" t="str">
        <f t="shared" si="462"/>
        <v>-</v>
      </c>
      <c r="J2434" s="538">
        <f t="shared" si="463"/>
        <v>0</v>
      </c>
      <c r="K2434" s="539" t="s">
        <v>2299</v>
      </c>
      <c r="L2434" s="20"/>
    </row>
    <row r="2435" spans="1:19">
      <c r="A2435" s="14" t="s">
        <v>31</v>
      </c>
      <c r="D2435" s="18">
        <v>20</v>
      </c>
      <c r="E2435" s="26" t="str">
        <f t="shared" si="459"/>
        <v>-</v>
      </c>
      <c r="F2435" s="311"/>
      <c r="G2435" s="307" t="str">
        <f t="shared" si="460"/>
        <v>-</v>
      </c>
      <c r="H2435" s="352">
        <f t="shared" si="461"/>
        <v>0</v>
      </c>
      <c r="I2435" s="537" t="str">
        <f t="shared" si="462"/>
        <v>-</v>
      </c>
      <c r="J2435" s="541">
        <f t="shared" si="463"/>
        <v>0</v>
      </c>
      <c r="K2435" s="539" t="s">
        <v>2299</v>
      </c>
      <c r="L2435" s="20"/>
    </row>
    <row r="2436" spans="1:19">
      <c r="A2436" s="14">
        <f>A2403+1</f>
        <v>52</v>
      </c>
      <c r="B2436" s="14" t="str">
        <f>"MA" &amp; TEXT(A2436,"##000")</f>
        <v>MA052</v>
      </c>
      <c r="D2436" s="18"/>
      <c r="E2436" s="591" t="s">
        <v>2302</v>
      </c>
      <c r="F2436" s="592"/>
      <c r="G2436" s="592"/>
      <c r="H2436" s="592"/>
      <c r="I2436" s="328"/>
      <c r="J2436" s="353">
        <f>SUM(J2416:J2435)</f>
        <v>20349</v>
      </c>
      <c r="K2436" s="365" t="str">
        <f>+F2413</f>
        <v>gl</v>
      </c>
      <c r="L2436" s="20"/>
      <c r="O2436" s="27" t="s">
        <v>1525</v>
      </c>
      <c r="P2436" s="110">
        <v>40000</v>
      </c>
    </row>
    <row r="2437" spans="1:19">
      <c r="D2437" s="18"/>
      <c r="E2437" s="593" t="s">
        <v>100</v>
      </c>
      <c r="F2437" s="594"/>
      <c r="G2437" s="594"/>
      <c r="H2437" s="594"/>
      <c r="I2437" s="594"/>
      <c r="J2437" s="595"/>
      <c r="K2437" s="347"/>
      <c r="L2437" s="20"/>
      <c r="O2437" s="27" t="s">
        <v>1524</v>
      </c>
      <c r="P2437" s="110">
        <v>0</v>
      </c>
    </row>
    <row r="2438" spans="1:19">
      <c r="A2438" s="14" t="s">
        <v>84</v>
      </c>
      <c r="D2438" s="18">
        <v>1</v>
      </c>
      <c r="E2438" s="26" t="str">
        <f>VLOOKUP($A2438,MATMO,2,FALSE)</f>
        <v>Oficial</v>
      </c>
      <c r="F2438" s="311">
        <v>500</v>
      </c>
      <c r="G2438" s="307" t="str">
        <f>VLOOKUP($A2438,MATMO,3,FALSE)</f>
        <v>hs</v>
      </c>
      <c r="H2438" s="110">
        <f>VLOOKUP($A2438,MATMO,4,FALSE)*$Q$7</f>
        <v>55.38</v>
      </c>
      <c r="I2438" s="354" t="str">
        <f t="shared" ref="I2438:I2442" si="464">+G2438</f>
        <v>hs</v>
      </c>
      <c r="J2438" s="350">
        <f t="shared" ref="J2438:J2442" si="465">+H2438*F2438</f>
        <v>27690</v>
      </c>
      <c r="K2438" s="360" t="s">
        <v>2299</v>
      </c>
      <c r="L2438" s="20"/>
      <c r="M2438" s="14" t="s">
        <v>2006</v>
      </c>
      <c r="O2438" s="27" t="s">
        <v>1526</v>
      </c>
      <c r="P2438" s="110">
        <v>0</v>
      </c>
    </row>
    <row r="2439" spans="1:19">
      <c r="A2439" s="14" t="s">
        <v>85</v>
      </c>
      <c r="D2439" s="18">
        <v>2</v>
      </c>
      <c r="E2439" s="26" t="str">
        <f>VLOOKUP($A2439,MATMO,2,FALSE)</f>
        <v>Ayudante</v>
      </c>
      <c r="F2439" s="311">
        <v>250</v>
      </c>
      <c r="G2439" s="307" t="str">
        <f>VLOOKUP($A2439,MATMO,3,FALSE)</f>
        <v>hs</v>
      </c>
      <c r="H2439" s="110">
        <f>VLOOKUP($A2439,MATMO,4,FALSE)*$Q$7</f>
        <v>46.87</v>
      </c>
      <c r="I2439" s="354" t="str">
        <f t="shared" si="464"/>
        <v>hs</v>
      </c>
      <c r="J2439" s="350">
        <f t="shared" si="465"/>
        <v>11717.5</v>
      </c>
      <c r="K2439" s="360" t="s">
        <v>2299</v>
      </c>
      <c r="L2439" s="20"/>
      <c r="O2439" s="27" t="s">
        <v>1527</v>
      </c>
      <c r="P2439" s="110">
        <v>0</v>
      </c>
    </row>
    <row r="2440" spans="1:19">
      <c r="A2440" s="14" t="s">
        <v>2311</v>
      </c>
      <c r="D2440" s="18">
        <v>3</v>
      </c>
      <c r="E2440" s="26" t="str">
        <f>VLOOKUP($A2440,MATMO,2,FALSE)</f>
        <v>Cargas Sociales Oficial</v>
      </c>
      <c r="F2440" s="311">
        <f>+F2438</f>
        <v>500</v>
      </c>
      <c r="G2440" s="307" t="str">
        <f>VLOOKUP($A2440,MATMO,3,FALSE)</f>
        <v>hs</v>
      </c>
      <c r="H2440" s="110">
        <f>VLOOKUP($A2440,MATMO,4,FALSE)*$Q$7</f>
        <v>52.742782499999997</v>
      </c>
      <c r="I2440" s="354" t="str">
        <f t="shared" si="464"/>
        <v>hs</v>
      </c>
      <c r="J2440" s="350">
        <f t="shared" si="465"/>
        <v>26371.391249999997</v>
      </c>
      <c r="K2440" s="360" t="s">
        <v>2299</v>
      </c>
      <c r="L2440" s="20"/>
      <c r="O2440" s="27"/>
      <c r="P2440" s="110">
        <v>0</v>
      </c>
    </row>
    <row r="2441" spans="1:19">
      <c r="A2441" s="14" t="s">
        <v>2312</v>
      </c>
      <c r="D2441" s="18">
        <v>4</v>
      </c>
      <c r="E2441" s="26" t="str">
        <f>VLOOKUP($A2441,MATMO,2,FALSE)</f>
        <v>Cargas Sociales Ayudante</v>
      </c>
      <c r="F2441" s="311">
        <f>+F2439</f>
        <v>250</v>
      </c>
      <c r="G2441" s="307" t="str">
        <f>VLOOKUP($A2441,MATMO,3,FALSE)</f>
        <v>hs</v>
      </c>
      <c r="H2441" s="110">
        <f>VLOOKUP($A2441,MATMO,4,FALSE)*$Q$7</f>
        <v>45.108248750000001</v>
      </c>
      <c r="I2441" s="354" t="str">
        <f t="shared" si="464"/>
        <v>hs</v>
      </c>
      <c r="J2441" s="350">
        <f t="shared" si="465"/>
        <v>11277.0621875</v>
      </c>
      <c r="K2441" s="360" t="s">
        <v>2299</v>
      </c>
      <c r="L2441" s="20"/>
      <c r="O2441" s="27"/>
      <c r="P2441" s="110">
        <v>0</v>
      </c>
    </row>
    <row r="2442" spans="1:19" ht="16.5" thickBot="1">
      <c r="A2442" s="14" t="s">
        <v>83</v>
      </c>
      <c r="D2442" s="18">
        <v>5</v>
      </c>
      <c r="E2442" s="26" t="str">
        <f>VLOOKUP($A2442,MATMO,2,FALSE)</f>
        <v>-</v>
      </c>
      <c r="F2442" s="311"/>
      <c r="G2442" s="307" t="str">
        <f>VLOOKUP($A2442,MATMO,3,FALSE)</f>
        <v>-</v>
      </c>
      <c r="H2442" s="110">
        <f>VLOOKUP($A2442,MATMO,4,FALSE)*$Q$7</f>
        <v>0</v>
      </c>
      <c r="I2442" s="537" t="str">
        <f t="shared" si="464"/>
        <v>-</v>
      </c>
      <c r="J2442" s="538">
        <f t="shared" si="465"/>
        <v>0</v>
      </c>
      <c r="K2442" s="539" t="s">
        <v>2299</v>
      </c>
      <c r="L2442" s="20"/>
      <c r="O2442" s="27"/>
      <c r="P2442" s="110">
        <v>0</v>
      </c>
      <c r="R2442" s="29" t="s">
        <v>2307</v>
      </c>
    </row>
    <row r="2443" spans="1:19" ht="16.5" thickBot="1">
      <c r="A2443" s="14">
        <f>A2403+1</f>
        <v>52</v>
      </c>
      <c r="B2443" s="14" t="str">
        <f>"MO" &amp; TEXT(A2443,"##000")</f>
        <v>MO052</v>
      </c>
      <c r="D2443" s="18"/>
      <c r="E2443" s="591" t="s">
        <v>2301</v>
      </c>
      <c r="F2443" s="592"/>
      <c r="G2443" s="592"/>
      <c r="H2443" s="592"/>
      <c r="I2443" s="328"/>
      <c r="J2443" s="362">
        <f>SUM(J2438:J2442)</f>
        <v>77055.953437499993</v>
      </c>
      <c r="K2443" s="365" t="str">
        <f>+G2438</f>
        <v>hs</v>
      </c>
      <c r="L2443" s="20"/>
      <c r="N2443" s="111">
        <f>+P2443+R2443</f>
        <v>76000</v>
      </c>
      <c r="O2443" s="27"/>
      <c r="P2443" s="27">
        <f>SUM(P2436:P2442)</f>
        <v>40000</v>
      </c>
      <c r="Q2443" s="26">
        <v>0.9</v>
      </c>
      <c r="R2443" s="287">
        <f>+Q2443*P2443</f>
        <v>36000</v>
      </c>
      <c r="S2443" s="288"/>
    </row>
    <row r="2444" spans="1:19">
      <c r="D2444" s="18"/>
      <c r="E2444" s="593" t="s">
        <v>101</v>
      </c>
      <c r="F2444" s="594"/>
      <c r="G2444" s="594"/>
      <c r="H2444" s="594"/>
      <c r="I2444" s="594"/>
      <c r="J2444" s="595"/>
      <c r="K2444" s="347"/>
      <c r="L2444" s="20"/>
      <c r="P2444" s="14" t="s">
        <v>2308</v>
      </c>
    </row>
    <row r="2445" spans="1:19">
      <c r="A2445" s="14" t="s">
        <v>119</v>
      </c>
      <c r="D2445" s="18">
        <v>1</v>
      </c>
      <c r="E2445" s="26" t="str">
        <f>VLOOKUP($A2445,MATMO,2,FALSE)</f>
        <v>Herramientas de Mano</v>
      </c>
      <c r="F2445" s="311">
        <v>1</v>
      </c>
      <c r="G2445" s="307" t="str">
        <f>VLOOKUP($A2445,MATMO,3,FALSE)</f>
        <v>gl</v>
      </c>
      <c r="H2445" s="110">
        <f>+(J2436+J2443)*$Q$5</f>
        <v>3896.1981374999996</v>
      </c>
      <c r="I2445" s="345" t="str">
        <f>+G2445</f>
        <v>gl</v>
      </c>
      <c r="J2445" s="350">
        <f t="shared" ref="J2445:J2449" si="466">+H2445*F2445</f>
        <v>3896.1981374999996</v>
      </c>
      <c r="K2445" s="360" t="s">
        <v>2299</v>
      </c>
      <c r="L2445" s="20"/>
      <c r="M2445" s="14" t="s">
        <v>2004</v>
      </c>
    </row>
    <row r="2446" spans="1:19">
      <c r="A2446" s="14" t="s">
        <v>118</v>
      </c>
      <c r="D2446" s="18">
        <v>2</v>
      </c>
      <c r="E2446" s="26" t="str">
        <f>VLOOKUP($A2446,MATMO,2,FALSE)</f>
        <v>-</v>
      </c>
      <c r="F2446" s="311"/>
      <c r="G2446" s="307" t="str">
        <f>VLOOKUP($A2446,MATMO,3,FALSE)</f>
        <v>-</v>
      </c>
      <c r="H2446" s="110">
        <f>VLOOKUP($A2446,MATMO,4,FALSE)*$Q$6</f>
        <v>0</v>
      </c>
      <c r="I2446" s="543" t="str">
        <f t="shared" ref="I2446:I2449" si="467">+G2446</f>
        <v>-</v>
      </c>
      <c r="J2446" s="538">
        <f t="shared" si="466"/>
        <v>0</v>
      </c>
      <c r="K2446" s="539" t="s">
        <v>2299</v>
      </c>
      <c r="L2446" s="20"/>
    </row>
    <row r="2447" spans="1:19">
      <c r="A2447" s="14" t="s">
        <v>118</v>
      </c>
      <c r="D2447" s="18">
        <v>3</v>
      </c>
      <c r="E2447" s="26" t="str">
        <f>VLOOKUP($A2447,MATMO,2,FALSE)</f>
        <v>-</v>
      </c>
      <c r="F2447" s="311"/>
      <c r="G2447" s="307" t="str">
        <f>VLOOKUP($A2447,MATMO,3,FALSE)</f>
        <v>-</v>
      </c>
      <c r="H2447" s="110">
        <f>VLOOKUP($A2447,MATMO,4,FALSE)*$Q$6</f>
        <v>0</v>
      </c>
      <c r="I2447" s="543" t="str">
        <f t="shared" si="467"/>
        <v>-</v>
      </c>
      <c r="J2447" s="538">
        <f t="shared" si="466"/>
        <v>0</v>
      </c>
      <c r="K2447" s="539" t="s">
        <v>2299</v>
      </c>
      <c r="L2447" s="20"/>
    </row>
    <row r="2448" spans="1:19">
      <c r="A2448" s="14" t="s">
        <v>118</v>
      </c>
      <c r="D2448" s="18">
        <v>4</v>
      </c>
      <c r="E2448" s="26" t="str">
        <f>VLOOKUP($A2448,MATMO,2,FALSE)</f>
        <v>-</v>
      </c>
      <c r="F2448" s="311"/>
      <c r="G2448" s="307" t="str">
        <f>VLOOKUP($A2448,MATMO,3,FALSE)</f>
        <v>-</v>
      </c>
      <c r="H2448" s="110">
        <f>VLOOKUP($A2448,MATMO,4,FALSE)*$Q$6</f>
        <v>0</v>
      </c>
      <c r="I2448" s="543" t="str">
        <f t="shared" si="467"/>
        <v>-</v>
      </c>
      <c r="J2448" s="538">
        <f t="shared" si="466"/>
        <v>0</v>
      </c>
      <c r="K2448" s="539" t="s">
        <v>2299</v>
      </c>
      <c r="L2448" s="20"/>
    </row>
    <row r="2449" spans="1:13">
      <c r="A2449" s="14" t="s">
        <v>118</v>
      </c>
      <c r="D2449" s="18">
        <v>5</v>
      </c>
      <c r="E2449" s="26" t="str">
        <f>VLOOKUP($A2449,MATMO,2,FALSE)</f>
        <v>-</v>
      </c>
      <c r="F2449" s="311"/>
      <c r="G2449" s="307" t="str">
        <f>VLOOKUP($A2449,MATMO,3,FALSE)</f>
        <v>-</v>
      </c>
      <c r="H2449" s="110">
        <f>VLOOKUP($A2449,MATMO,4,FALSE)*$Q$6</f>
        <v>0</v>
      </c>
      <c r="I2449" s="543" t="str">
        <f t="shared" si="467"/>
        <v>-</v>
      </c>
      <c r="J2449" s="538">
        <f t="shared" si="466"/>
        <v>0</v>
      </c>
      <c r="K2449" s="539" t="s">
        <v>2299</v>
      </c>
      <c r="L2449" s="20"/>
    </row>
    <row r="2450" spans="1:13">
      <c r="A2450" s="14">
        <f>A2403+1</f>
        <v>52</v>
      </c>
      <c r="B2450" s="14" t="str">
        <f>"E" &amp; TEXT(A2450,"##000")</f>
        <v>E052</v>
      </c>
      <c r="D2450" s="18"/>
      <c r="E2450" s="591" t="s">
        <v>2300</v>
      </c>
      <c r="F2450" s="592"/>
      <c r="G2450" s="592"/>
      <c r="H2450" s="592"/>
      <c r="I2450" s="328"/>
      <c r="J2450" s="362">
        <f>SUM(J2445:J2449)</f>
        <v>3896.1981374999996</v>
      </c>
      <c r="K2450" s="365" t="s">
        <v>116</v>
      </c>
      <c r="L2450" s="20"/>
    </row>
    <row r="2451" spans="1:13">
      <c r="D2451" s="18"/>
      <c r="E2451" s="596"/>
      <c r="F2451" s="597"/>
      <c r="G2451" s="597"/>
      <c r="H2451" s="597"/>
      <c r="I2451" s="597"/>
      <c r="J2451" s="598"/>
      <c r="K2451" s="348"/>
      <c r="L2451" s="20"/>
    </row>
    <row r="2452" spans="1:13">
      <c r="D2452" s="18"/>
      <c r="E2452" s="591" t="s">
        <v>2306</v>
      </c>
      <c r="F2452" s="592"/>
      <c r="G2452" s="592"/>
      <c r="H2452" s="592"/>
      <c r="I2452" s="328"/>
      <c r="J2452" s="308">
        <f>+J2450+J2443+J2436</f>
        <v>101301.151575</v>
      </c>
      <c r="K2452" s="365" t="str">
        <f>+F2413</f>
        <v>gl</v>
      </c>
      <c r="L2452" s="20"/>
    </row>
    <row r="2453" spans="1:13">
      <c r="D2453" s="18"/>
      <c r="E2453" s="591" t="s">
        <v>2305</v>
      </c>
      <c r="F2453" s="592"/>
      <c r="G2453" s="592"/>
      <c r="H2453" s="592"/>
      <c r="I2453" s="406">
        <f>+$Q$9</f>
        <v>1.6902999999999999</v>
      </c>
      <c r="J2453" s="308">
        <f>+$Q$9*J2452</f>
        <v>171229.3365072225</v>
      </c>
      <c r="K2453" s="365" t="str">
        <f>+F2413</f>
        <v>gl</v>
      </c>
      <c r="L2453" s="20"/>
    </row>
    <row r="2454" spans="1:13">
      <c r="A2454" s="14">
        <f>A2407+1</f>
        <v>52</v>
      </c>
      <c r="B2454" s="14" t="str">
        <f>"TR" &amp; TEXT(A2454,"##000")</f>
        <v>TR052</v>
      </c>
      <c r="C2454" s="14">
        <f>+C2407+1</f>
        <v>52</v>
      </c>
      <c r="D2454" s="18"/>
      <c r="E2454" s="591" t="s">
        <v>2304</v>
      </c>
      <c r="F2454" s="592"/>
      <c r="G2454" s="592"/>
      <c r="H2454" s="592"/>
      <c r="I2454" s="328"/>
      <c r="J2454" s="308">
        <f>+J2453</f>
        <v>171229.3365072225</v>
      </c>
      <c r="K2454" s="365" t="str">
        <f>+F2413</f>
        <v>gl</v>
      </c>
      <c r="L2454" s="20"/>
    </row>
    <row r="2455" spans="1:13" ht="16.5" thickBot="1">
      <c r="D2455" s="21"/>
      <c r="E2455" s="30"/>
      <c r="F2455" s="30"/>
      <c r="G2455" s="30"/>
      <c r="H2455" s="30"/>
      <c r="I2455" s="30"/>
      <c r="J2455" s="30"/>
      <c r="K2455" s="349"/>
      <c r="L2455" s="22"/>
    </row>
    <row r="2456" spans="1:13" ht="16.5" thickTop="1">
      <c r="D2456" s="15"/>
      <c r="E2456" s="16"/>
      <c r="F2456" s="16"/>
      <c r="G2456" s="16"/>
      <c r="H2456" s="16"/>
      <c r="I2456" s="16"/>
      <c r="J2456" s="16"/>
      <c r="K2456" s="16"/>
      <c r="L2456" s="17"/>
    </row>
    <row r="2457" spans="1:13">
      <c r="A2457" s="14" t="s">
        <v>1892</v>
      </c>
      <c r="D2457" s="18"/>
      <c r="E2457" s="23" t="s">
        <v>95</v>
      </c>
      <c r="F2457" s="364" t="str">
        <f>VLOOKUP($A2457,DATRUB,3,FALSE)</f>
        <v>RUBRO XIII:</v>
      </c>
      <c r="G2457" s="599" t="str">
        <f>VLOOKUP($A2457,DATRUB,4,FALSE)</f>
        <v>INSTALACIÓN SANITARIA</v>
      </c>
      <c r="H2457" s="599"/>
      <c r="I2457" s="599"/>
      <c r="J2457" s="599"/>
      <c r="K2457" s="599"/>
      <c r="L2457" s="20"/>
    </row>
    <row r="2458" spans="1:13" ht="35.1" customHeight="1">
      <c r="A2458" s="14" t="s">
        <v>1871</v>
      </c>
      <c r="D2458" s="18"/>
      <c r="E2458" s="23" t="s">
        <v>96</v>
      </c>
      <c r="F2458" s="399">
        <f>VLOOKUP($A2458,DATRUB,3,FALSE)</f>
        <v>13.1</v>
      </c>
      <c r="G2458" s="599" t="str">
        <f>VLOOKUP($A2458,DATRUB,4,FALSE)</f>
        <v>Cañerias Agua y Desagüe</v>
      </c>
      <c r="H2458" s="599"/>
      <c r="I2458" s="599"/>
      <c r="J2458" s="599"/>
      <c r="K2458" s="599"/>
      <c r="L2458" s="20"/>
    </row>
    <row r="2459" spans="1:13" ht="35.1" customHeight="1">
      <c r="A2459" s="14" t="s">
        <v>1871</v>
      </c>
      <c r="D2459" s="18"/>
      <c r="E2459" s="23" t="s">
        <v>97</v>
      </c>
      <c r="F2459" s="399">
        <f>VLOOKUP($A2459,DATRUB,3,FALSE)</f>
        <v>13.1</v>
      </c>
      <c r="G2459" s="599" t="str">
        <f>VLOOKUP($A2459,DATRUB,4,FALSE)</f>
        <v>Cañerias Agua y Desagüe</v>
      </c>
      <c r="H2459" s="599"/>
      <c r="I2459" s="599"/>
      <c r="J2459" s="599"/>
      <c r="K2459" s="599"/>
      <c r="L2459" s="20"/>
    </row>
    <row r="2460" spans="1:13">
      <c r="D2460" s="18"/>
      <c r="E2460" s="23" t="s">
        <v>98</v>
      </c>
      <c r="F2460" s="364" t="str">
        <f>VLOOKUP($A2459,DATRUB,5,FALSE)</f>
        <v>ud</v>
      </c>
      <c r="G2460" s="600"/>
      <c r="H2460" s="600"/>
      <c r="I2460" s="600"/>
      <c r="J2460" s="600"/>
      <c r="K2460" s="600"/>
      <c r="L2460" s="20"/>
    </row>
    <row r="2461" spans="1:13">
      <c r="D2461" s="18"/>
      <c r="E2461" s="364" t="s">
        <v>1158</v>
      </c>
      <c r="F2461" s="363" t="s">
        <v>1250</v>
      </c>
      <c r="G2461" s="364" t="s">
        <v>24</v>
      </c>
      <c r="H2461" s="364" t="s">
        <v>25</v>
      </c>
      <c r="I2461" s="364" t="s">
        <v>24</v>
      </c>
      <c r="J2461" s="364" t="s">
        <v>2298</v>
      </c>
      <c r="K2461" s="364" t="s">
        <v>24</v>
      </c>
      <c r="L2461" s="20"/>
    </row>
    <row r="2462" spans="1:13">
      <c r="D2462" s="18"/>
      <c r="E2462" s="593" t="s">
        <v>99</v>
      </c>
      <c r="F2462" s="594"/>
      <c r="G2462" s="594"/>
      <c r="H2462" s="594"/>
      <c r="I2462" s="594"/>
      <c r="J2462" s="594"/>
      <c r="K2462" s="595"/>
      <c r="L2462" s="20"/>
    </row>
    <row r="2463" spans="1:13">
      <c r="A2463" s="14" t="s">
        <v>2482</v>
      </c>
      <c r="D2463" s="18">
        <v>1</v>
      </c>
      <c r="E2463" s="355" t="str">
        <f t="shared" ref="E2463:E2482" si="468">VLOOKUP($A2463,MATMO,2,FALSE)</f>
        <v>Materiales Cañerias Agua y Desagüe</v>
      </c>
      <c r="F2463" s="356">
        <v>1</v>
      </c>
      <c r="G2463" s="357" t="str">
        <f t="shared" ref="G2463:G2482" si="469">VLOOKUP($A2463,MATMO,3,FALSE)</f>
        <v>gl</v>
      </c>
      <c r="H2463" s="358">
        <f t="shared" ref="H2463:H2482" si="470">VLOOKUP($A2463,MATMO,4,FALSE)*$Q$6</f>
        <v>21548.89</v>
      </c>
      <c r="I2463" s="359" t="str">
        <f t="shared" ref="I2463:I2482" si="471">+G2463</f>
        <v>gl</v>
      </c>
      <c r="J2463" s="361">
        <f>+H2463*F2463</f>
        <v>21548.89</v>
      </c>
      <c r="K2463" s="360" t="s">
        <v>2299</v>
      </c>
      <c r="L2463" s="20"/>
      <c r="M2463" s="14" t="s">
        <v>2005</v>
      </c>
    </row>
    <row r="2464" spans="1:13">
      <c r="A2464" s="14" t="s">
        <v>31</v>
      </c>
      <c r="D2464" s="18">
        <v>2</v>
      </c>
      <c r="E2464" s="26" t="str">
        <f t="shared" si="468"/>
        <v>-</v>
      </c>
      <c r="F2464" s="311"/>
      <c r="G2464" s="307" t="str">
        <f t="shared" si="469"/>
        <v>-</v>
      </c>
      <c r="H2464" s="351">
        <f t="shared" si="470"/>
        <v>0</v>
      </c>
      <c r="I2464" s="537" t="str">
        <f t="shared" si="471"/>
        <v>-</v>
      </c>
      <c r="J2464" s="538">
        <f t="shared" ref="J2464:J2482" si="472">+H2464*F2464</f>
        <v>0</v>
      </c>
      <c r="K2464" s="539" t="s">
        <v>2299</v>
      </c>
      <c r="L2464" s="20"/>
    </row>
    <row r="2465" spans="1:12">
      <c r="A2465" s="14" t="s">
        <v>31</v>
      </c>
      <c r="D2465" s="18">
        <v>3</v>
      </c>
      <c r="E2465" s="26" t="str">
        <f t="shared" si="468"/>
        <v>-</v>
      </c>
      <c r="F2465" s="311"/>
      <c r="G2465" s="307" t="str">
        <f t="shared" si="469"/>
        <v>-</v>
      </c>
      <c r="H2465" s="351">
        <f t="shared" si="470"/>
        <v>0</v>
      </c>
      <c r="I2465" s="537" t="str">
        <f t="shared" si="471"/>
        <v>-</v>
      </c>
      <c r="J2465" s="538">
        <f t="shared" si="472"/>
        <v>0</v>
      </c>
      <c r="K2465" s="539" t="s">
        <v>2299</v>
      </c>
      <c r="L2465" s="20"/>
    </row>
    <row r="2466" spans="1:12">
      <c r="A2466" s="14" t="s">
        <v>31</v>
      </c>
      <c r="D2466" s="18">
        <v>4</v>
      </c>
      <c r="E2466" s="26" t="str">
        <f t="shared" si="468"/>
        <v>-</v>
      </c>
      <c r="F2466" s="311"/>
      <c r="G2466" s="307" t="str">
        <f t="shared" si="469"/>
        <v>-</v>
      </c>
      <c r="H2466" s="351">
        <f t="shared" si="470"/>
        <v>0</v>
      </c>
      <c r="I2466" s="537" t="str">
        <f t="shared" si="471"/>
        <v>-</v>
      </c>
      <c r="J2466" s="538">
        <f t="shared" si="472"/>
        <v>0</v>
      </c>
      <c r="K2466" s="539" t="s">
        <v>2299</v>
      </c>
      <c r="L2466" s="20"/>
    </row>
    <row r="2467" spans="1:12">
      <c r="A2467" s="14" t="s">
        <v>31</v>
      </c>
      <c r="D2467" s="18">
        <v>5</v>
      </c>
      <c r="E2467" s="26" t="str">
        <f t="shared" si="468"/>
        <v>-</v>
      </c>
      <c r="F2467" s="311"/>
      <c r="G2467" s="307" t="str">
        <f t="shared" si="469"/>
        <v>-</v>
      </c>
      <c r="H2467" s="351">
        <f t="shared" si="470"/>
        <v>0</v>
      </c>
      <c r="I2467" s="537" t="str">
        <f t="shared" si="471"/>
        <v>-</v>
      </c>
      <c r="J2467" s="538">
        <f t="shared" si="472"/>
        <v>0</v>
      </c>
      <c r="K2467" s="539" t="s">
        <v>2299</v>
      </c>
      <c r="L2467" s="20"/>
    </row>
    <row r="2468" spans="1:12">
      <c r="A2468" s="14" t="s">
        <v>31</v>
      </c>
      <c r="D2468" s="18">
        <v>6</v>
      </c>
      <c r="E2468" s="26" t="str">
        <f t="shared" si="468"/>
        <v>-</v>
      </c>
      <c r="F2468" s="311"/>
      <c r="G2468" s="307" t="str">
        <f t="shared" si="469"/>
        <v>-</v>
      </c>
      <c r="H2468" s="351">
        <f t="shared" si="470"/>
        <v>0</v>
      </c>
      <c r="I2468" s="537" t="str">
        <f t="shared" si="471"/>
        <v>-</v>
      </c>
      <c r="J2468" s="538">
        <f t="shared" si="472"/>
        <v>0</v>
      </c>
      <c r="K2468" s="539" t="s">
        <v>2299</v>
      </c>
      <c r="L2468" s="20"/>
    </row>
    <row r="2469" spans="1:12">
      <c r="A2469" s="14" t="s">
        <v>31</v>
      </c>
      <c r="D2469" s="18">
        <v>7</v>
      </c>
      <c r="E2469" s="26" t="str">
        <f t="shared" si="468"/>
        <v>-</v>
      </c>
      <c r="F2469" s="311"/>
      <c r="G2469" s="307" t="str">
        <f t="shared" si="469"/>
        <v>-</v>
      </c>
      <c r="H2469" s="351">
        <f t="shared" si="470"/>
        <v>0</v>
      </c>
      <c r="I2469" s="537" t="str">
        <f t="shared" si="471"/>
        <v>-</v>
      </c>
      <c r="J2469" s="538">
        <f t="shared" si="472"/>
        <v>0</v>
      </c>
      <c r="K2469" s="539" t="s">
        <v>2299</v>
      </c>
      <c r="L2469" s="20"/>
    </row>
    <row r="2470" spans="1:12">
      <c r="A2470" s="14" t="s">
        <v>31</v>
      </c>
      <c r="D2470" s="18">
        <v>8</v>
      </c>
      <c r="E2470" s="26" t="str">
        <f t="shared" si="468"/>
        <v>-</v>
      </c>
      <c r="F2470" s="311"/>
      <c r="G2470" s="307" t="str">
        <f t="shared" si="469"/>
        <v>-</v>
      </c>
      <c r="H2470" s="351">
        <f t="shared" si="470"/>
        <v>0</v>
      </c>
      <c r="I2470" s="537" t="str">
        <f t="shared" si="471"/>
        <v>-</v>
      </c>
      <c r="J2470" s="538">
        <f t="shared" si="472"/>
        <v>0</v>
      </c>
      <c r="K2470" s="539" t="s">
        <v>2299</v>
      </c>
      <c r="L2470" s="20"/>
    </row>
    <row r="2471" spans="1:12">
      <c r="A2471" s="14" t="s">
        <v>31</v>
      </c>
      <c r="D2471" s="18">
        <v>9</v>
      </c>
      <c r="E2471" s="26" t="str">
        <f t="shared" si="468"/>
        <v>-</v>
      </c>
      <c r="F2471" s="311"/>
      <c r="G2471" s="307" t="str">
        <f t="shared" si="469"/>
        <v>-</v>
      </c>
      <c r="H2471" s="351">
        <f t="shared" si="470"/>
        <v>0</v>
      </c>
      <c r="I2471" s="537" t="str">
        <f t="shared" si="471"/>
        <v>-</v>
      </c>
      <c r="J2471" s="538">
        <f t="shared" si="472"/>
        <v>0</v>
      </c>
      <c r="K2471" s="539" t="s">
        <v>2299</v>
      </c>
      <c r="L2471" s="20"/>
    </row>
    <row r="2472" spans="1:12">
      <c r="A2472" s="14" t="s">
        <v>31</v>
      </c>
      <c r="D2472" s="18">
        <v>10</v>
      </c>
      <c r="E2472" s="26" t="str">
        <f t="shared" si="468"/>
        <v>-</v>
      </c>
      <c r="F2472" s="311"/>
      <c r="G2472" s="307" t="str">
        <f t="shared" si="469"/>
        <v>-</v>
      </c>
      <c r="H2472" s="351">
        <f t="shared" si="470"/>
        <v>0</v>
      </c>
      <c r="I2472" s="537" t="str">
        <f t="shared" si="471"/>
        <v>-</v>
      </c>
      <c r="J2472" s="538">
        <f t="shared" si="472"/>
        <v>0</v>
      </c>
      <c r="K2472" s="539" t="s">
        <v>2299</v>
      </c>
      <c r="L2472" s="20"/>
    </row>
    <row r="2473" spans="1:12">
      <c r="A2473" s="14" t="s">
        <v>31</v>
      </c>
      <c r="D2473" s="18">
        <v>11</v>
      </c>
      <c r="E2473" s="26" t="str">
        <f t="shared" si="468"/>
        <v>-</v>
      </c>
      <c r="F2473" s="311"/>
      <c r="G2473" s="307" t="str">
        <f t="shared" si="469"/>
        <v>-</v>
      </c>
      <c r="H2473" s="351">
        <f t="shared" si="470"/>
        <v>0</v>
      </c>
      <c r="I2473" s="537" t="str">
        <f t="shared" si="471"/>
        <v>-</v>
      </c>
      <c r="J2473" s="538">
        <f t="shared" si="472"/>
        <v>0</v>
      </c>
      <c r="K2473" s="539" t="s">
        <v>2299</v>
      </c>
      <c r="L2473" s="20"/>
    </row>
    <row r="2474" spans="1:12">
      <c r="A2474" s="14" t="s">
        <v>31</v>
      </c>
      <c r="D2474" s="18">
        <v>12</v>
      </c>
      <c r="E2474" s="26" t="str">
        <f t="shared" si="468"/>
        <v>-</v>
      </c>
      <c r="F2474" s="311"/>
      <c r="G2474" s="307" t="str">
        <f t="shared" si="469"/>
        <v>-</v>
      </c>
      <c r="H2474" s="352">
        <f t="shared" si="470"/>
        <v>0</v>
      </c>
      <c r="I2474" s="537" t="str">
        <f t="shared" si="471"/>
        <v>-</v>
      </c>
      <c r="J2474" s="538">
        <f t="shared" si="472"/>
        <v>0</v>
      </c>
      <c r="K2474" s="539" t="s">
        <v>2299</v>
      </c>
      <c r="L2474" s="20"/>
    </row>
    <row r="2475" spans="1:12">
      <c r="A2475" s="14" t="s">
        <v>31</v>
      </c>
      <c r="D2475" s="18">
        <v>13</v>
      </c>
      <c r="E2475" s="26" t="str">
        <f t="shared" si="468"/>
        <v>-</v>
      </c>
      <c r="F2475" s="311"/>
      <c r="G2475" s="307" t="str">
        <f t="shared" si="469"/>
        <v>-</v>
      </c>
      <c r="H2475" s="352">
        <f t="shared" si="470"/>
        <v>0</v>
      </c>
      <c r="I2475" s="537" t="str">
        <f t="shared" si="471"/>
        <v>-</v>
      </c>
      <c r="J2475" s="538">
        <f t="shared" si="472"/>
        <v>0</v>
      </c>
      <c r="K2475" s="539" t="s">
        <v>2299</v>
      </c>
      <c r="L2475" s="20"/>
    </row>
    <row r="2476" spans="1:12">
      <c r="A2476" s="14" t="s">
        <v>31</v>
      </c>
      <c r="D2476" s="18">
        <v>14</v>
      </c>
      <c r="E2476" s="26" t="str">
        <f t="shared" si="468"/>
        <v>-</v>
      </c>
      <c r="F2476" s="311"/>
      <c r="G2476" s="307" t="str">
        <f t="shared" si="469"/>
        <v>-</v>
      </c>
      <c r="H2476" s="352">
        <f t="shared" si="470"/>
        <v>0</v>
      </c>
      <c r="I2476" s="537" t="str">
        <f t="shared" si="471"/>
        <v>-</v>
      </c>
      <c r="J2476" s="538">
        <f t="shared" si="472"/>
        <v>0</v>
      </c>
      <c r="K2476" s="539" t="s">
        <v>2299</v>
      </c>
      <c r="L2476" s="20"/>
    </row>
    <row r="2477" spans="1:12">
      <c r="A2477" s="14" t="s">
        <v>31</v>
      </c>
      <c r="D2477" s="18">
        <v>15</v>
      </c>
      <c r="E2477" s="26" t="str">
        <f t="shared" si="468"/>
        <v>-</v>
      </c>
      <c r="F2477" s="311"/>
      <c r="G2477" s="307" t="str">
        <f t="shared" si="469"/>
        <v>-</v>
      </c>
      <c r="H2477" s="352">
        <f t="shared" si="470"/>
        <v>0</v>
      </c>
      <c r="I2477" s="537" t="str">
        <f t="shared" si="471"/>
        <v>-</v>
      </c>
      <c r="J2477" s="538">
        <f t="shared" si="472"/>
        <v>0</v>
      </c>
      <c r="K2477" s="539" t="s">
        <v>2299</v>
      </c>
      <c r="L2477" s="20"/>
    </row>
    <row r="2478" spans="1:12">
      <c r="A2478" s="14" t="s">
        <v>31</v>
      </c>
      <c r="D2478" s="18">
        <v>16</v>
      </c>
      <c r="E2478" s="26" t="str">
        <f t="shared" si="468"/>
        <v>-</v>
      </c>
      <c r="F2478" s="311"/>
      <c r="G2478" s="307" t="str">
        <f t="shared" si="469"/>
        <v>-</v>
      </c>
      <c r="H2478" s="352">
        <f t="shared" si="470"/>
        <v>0</v>
      </c>
      <c r="I2478" s="537" t="str">
        <f t="shared" si="471"/>
        <v>-</v>
      </c>
      <c r="J2478" s="538">
        <f t="shared" si="472"/>
        <v>0</v>
      </c>
      <c r="K2478" s="539" t="s">
        <v>2299</v>
      </c>
      <c r="L2478" s="20"/>
    </row>
    <row r="2479" spans="1:12">
      <c r="A2479" s="14" t="s">
        <v>31</v>
      </c>
      <c r="D2479" s="18">
        <v>17</v>
      </c>
      <c r="E2479" s="26" t="str">
        <f t="shared" si="468"/>
        <v>-</v>
      </c>
      <c r="F2479" s="311"/>
      <c r="G2479" s="307" t="str">
        <f t="shared" si="469"/>
        <v>-</v>
      </c>
      <c r="H2479" s="352">
        <f t="shared" si="470"/>
        <v>0</v>
      </c>
      <c r="I2479" s="537" t="str">
        <f t="shared" si="471"/>
        <v>-</v>
      </c>
      <c r="J2479" s="538">
        <f t="shared" si="472"/>
        <v>0</v>
      </c>
      <c r="K2479" s="539" t="s">
        <v>2299</v>
      </c>
      <c r="L2479" s="20"/>
    </row>
    <row r="2480" spans="1:12">
      <c r="A2480" s="14" t="s">
        <v>31</v>
      </c>
      <c r="D2480" s="18">
        <v>18</v>
      </c>
      <c r="E2480" s="26" t="str">
        <f t="shared" si="468"/>
        <v>-</v>
      </c>
      <c r="F2480" s="311"/>
      <c r="G2480" s="307" t="str">
        <f t="shared" si="469"/>
        <v>-</v>
      </c>
      <c r="H2480" s="352">
        <f t="shared" si="470"/>
        <v>0</v>
      </c>
      <c r="I2480" s="537" t="str">
        <f t="shared" si="471"/>
        <v>-</v>
      </c>
      <c r="J2480" s="538">
        <f t="shared" si="472"/>
        <v>0</v>
      </c>
      <c r="K2480" s="539" t="s">
        <v>2299</v>
      </c>
      <c r="L2480" s="20"/>
    </row>
    <row r="2481" spans="1:19">
      <c r="A2481" s="14" t="s">
        <v>31</v>
      </c>
      <c r="D2481" s="18">
        <v>19</v>
      </c>
      <c r="E2481" s="26" t="str">
        <f t="shared" si="468"/>
        <v>-</v>
      </c>
      <c r="F2481" s="311"/>
      <c r="G2481" s="307" t="str">
        <f t="shared" si="469"/>
        <v>-</v>
      </c>
      <c r="H2481" s="352">
        <f t="shared" si="470"/>
        <v>0</v>
      </c>
      <c r="I2481" s="537" t="str">
        <f t="shared" si="471"/>
        <v>-</v>
      </c>
      <c r="J2481" s="538">
        <f t="shared" si="472"/>
        <v>0</v>
      </c>
      <c r="K2481" s="539" t="s">
        <v>2299</v>
      </c>
      <c r="L2481" s="20"/>
    </row>
    <row r="2482" spans="1:19">
      <c r="A2482" s="14" t="s">
        <v>31</v>
      </c>
      <c r="D2482" s="18">
        <v>20</v>
      </c>
      <c r="E2482" s="26" t="str">
        <f t="shared" si="468"/>
        <v>-</v>
      </c>
      <c r="F2482" s="311"/>
      <c r="G2482" s="307" t="str">
        <f t="shared" si="469"/>
        <v>-</v>
      </c>
      <c r="H2482" s="352">
        <f t="shared" si="470"/>
        <v>0</v>
      </c>
      <c r="I2482" s="537" t="str">
        <f t="shared" si="471"/>
        <v>-</v>
      </c>
      <c r="J2482" s="541">
        <f t="shared" si="472"/>
        <v>0</v>
      </c>
      <c r="K2482" s="539" t="s">
        <v>2299</v>
      </c>
      <c r="L2482" s="20"/>
    </row>
    <row r="2483" spans="1:19">
      <c r="A2483" s="14">
        <f>A2450+1</f>
        <v>53</v>
      </c>
      <c r="B2483" s="14" t="str">
        <f>"MA" &amp; TEXT(A2483,"##000")</f>
        <v>MA053</v>
      </c>
      <c r="D2483" s="18"/>
      <c r="E2483" s="591" t="s">
        <v>2302</v>
      </c>
      <c r="F2483" s="592"/>
      <c r="G2483" s="592"/>
      <c r="H2483" s="592"/>
      <c r="I2483" s="328"/>
      <c r="J2483" s="353">
        <f>SUM(J2463:J2482)</f>
        <v>21548.89</v>
      </c>
      <c r="K2483" s="365" t="str">
        <f>+F2460</f>
        <v>ud</v>
      </c>
      <c r="L2483" s="20"/>
      <c r="O2483" s="27" t="s">
        <v>1525</v>
      </c>
      <c r="P2483" s="110">
        <v>15000</v>
      </c>
    </row>
    <row r="2484" spans="1:19">
      <c r="D2484" s="18"/>
      <c r="E2484" s="593" t="s">
        <v>100</v>
      </c>
      <c r="F2484" s="594"/>
      <c r="G2484" s="594"/>
      <c r="H2484" s="594"/>
      <c r="I2484" s="594"/>
      <c r="J2484" s="595"/>
      <c r="K2484" s="347"/>
      <c r="L2484" s="20"/>
      <c r="O2484" s="27" t="s">
        <v>1524</v>
      </c>
      <c r="P2484" s="110">
        <v>0</v>
      </c>
    </row>
    <row r="2485" spans="1:19">
      <c r="A2485" s="14" t="s">
        <v>84</v>
      </c>
      <c r="D2485" s="18">
        <v>1</v>
      </c>
      <c r="E2485" s="26" t="str">
        <f>VLOOKUP($A2485,MATMO,2,FALSE)</f>
        <v>Oficial</v>
      </c>
      <c r="F2485" s="311">
        <v>200</v>
      </c>
      <c r="G2485" s="307" t="str">
        <f>VLOOKUP($A2485,MATMO,3,FALSE)</f>
        <v>hs</v>
      </c>
      <c r="H2485" s="110">
        <f>VLOOKUP($A2485,MATMO,4,FALSE)*$Q$7</f>
        <v>55.38</v>
      </c>
      <c r="I2485" s="354" t="str">
        <f t="shared" ref="I2485:I2489" si="473">+G2485</f>
        <v>hs</v>
      </c>
      <c r="J2485" s="350">
        <f t="shared" ref="J2485:J2489" si="474">+H2485*F2485</f>
        <v>11076</v>
      </c>
      <c r="K2485" s="360" t="s">
        <v>2299</v>
      </c>
      <c r="L2485" s="20"/>
      <c r="M2485" s="14" t="s">
        <v>2006</v>
      </c>
      <c r="O2485" s="27" t="s">
        <v>1526</v>
      </c>
      <c r="P2485" s="110">
        <v>0</v>
      </c>
    </row>
    <row r="2486" spans="1:19">
      <c r="A2486" s="14" t="s">
        <v>85</v>
      </c>
      <c r="D2486" s="18">
        <v>2</v>
      </c>
      <c r="E2486" s="26" t="str">
        <f>VLOOKUP($A2486,MATMO,2,FALSE)</f>
        <v>Ayudante</v>
      </c>
      <c r="F2486" s="311">
        <v>75</v>
      </c>
      <c r="G2486" s="307" t="str">
        <f>VLOOKUP($A2486,MATMO,3,FALSE)</f>
        <v>hs</v>
      </c>
      <c r="H2486" s="110">
        <f>VLOOKUP($A2486,MATMO,4,FALSE)*$Q$7</f>
        <v>46.87</v>
      </c>
      <c r="I2486" s="354" t="str">
        <f t="shared" si="473"/>
        <v>hs</v>
      </c>
      <c r="J2486" s="350">
        <f t="shared" si="474"/>
        <v>3515.25</v>
      </c>
      <c r="K2486" s="360" t="s">
        <v>2299</v>
      </c>
      <c r="L2486" s="20"/>
      <c r="O2486" s="27" t="s">
        <v>1527</v>
      </c>
      <c r="P2486" s="110">
        <v>0</v>
      </c>
    </row>
    <row r="2487" spans="1:19">
      <c r="A2487" s="14" t="s">
        <v>2311</v>
      </c>
      <c r="D2487" s="18">
        <v>3</v>
      </c>
      <c r="E2487" s="26" t="str">
        <f>VLOOKUP($A2487,MATMO,2,FALSE)</f>
        <v>Cargas Sociales Oficial</v>
      </c>
      <c r="F2487" s="311">
        <f>+F2485</f>
        <v>200</v>
      </c>
      <c r="G2487" s="307" t="str">
        <f>VLOOKUP($A2487,MATMO,3,FALSE)</f>
        <v>hs</v>
      </c>
      <c r="H2487" s="110">
        <f>VLOOKUP($A2487,MATMO,4,FALSE)*$Q$7</f>
        <v>52.742782499999997</v>
      </c>
      <c r="I2487" s="354" t="str">
        <f t="shared" si="473"/>
        <v>hs</v>
      </c>
      <c r="J2487" s="350">
        <f t="shared" si="474"/>
        <v>10548.556499999999</v>
      </c>
      <c r="K2487" s="360" t="s">
        <v>2299</v>
      </c>
      <c r="L2487" s="20"/>
      <c r="O2487" s="27"/>
      <c r="P2487" s="110">
        <v>0</v>
      </c>
    </row>
    <row r="2488" spans="1:19">
      <c r="A2488" s="14" t="s">
        <v>2312</v>
      </c>
      <c r="D2488" s="18">
        <v>4</v>
      </c>
      <c r="E2488" s="26" t="str">
        <f>VLOOKUP($A2488,MATMO,2,FALSE)</f>
        <v>Cargas Sociales Ayudante</v>
      </c>
      <c r="F2488" s="311">
        <f>+F2486</f>
        <v>75</v>
      </c>
      <c r="G2488" s="307" t="str">
        <f>VLOOKUP($A2488,MATMO,3,FALSE)</f>
        <v>hs</v>
      </c>
      <c r="H2488" s="110">
        <f>VLOOKUP($A2488,MATMO,4,FALSE)*$Q$7</f>
        <v>45.108248750000001</v>
      </c>
      <c r="I2488" s="354" t="str">
        <f t="shared" si="473"/>
        <v>hs</v>
      </c>
      <c r="J2488" s="350">
        <f t="shared" si="474"/>
        <v>3383.1186562500002</v>
      </c>
      <c r="K2488" s="360" t="s">
        <v>2299</v>
      </c>
      <c r="L2488" s="20"/>
      <c r="O2488" s="27"/>
      <c r="P2488" s="110">
        <v>0</v>
      </c>
    </row>
    <row r="2489" spans="1:19" ht="16.5" thickBot="1">
      <c r="A2489" s="14" t="s">
        <v>83</v>
      </c>
      <c r="D2489" s="18">
        <v>5</v>
      </c>
      <c r="E2489" s="26" t="str">
        <f>VLOOKUP($A2489,MATMO,2,FALSE)</f>
        <v>-</v>
      </c>
      <c r="F2489" s="311"/>
      <c r="G2489" s="307" t="str">
        <f>VLOOKUP($A2489,MATMO,3,FALSE)</f>
        <v>-</v>
      </c>
      <c r="H2489" s="110">
        <f>VLOOKUP($A2489,MATMO,4,FALSE)*$Q$7</f>
        <v>0</v>
      </c>
      <c r="I2489" s="537" t="str">
        <f t="shared" si="473"/>
        <v>-</v>
      </c>
      <c r="J2489" s="538">
        <f t="shared" si="474"/>
        <v>0</v>
      </c>
      <c r="K2489" s="539" t="s">
        <v>2299</v>
      </c>
      <c r="L2489" s="20"/>
      <c r="O2489" s="27"/>
      <c r="P2489" s="110">
        <v>0</v>
      </c>
      <c r="R2489" s="29" t="s">
        <v>2307</v>
      </c>
    </row>
    <row r="2490" spans="1:19" ht="16.5" thickBot="1">
      <c r="A2490" s="14">
        <f>A2450+1</f>
        <v>53</v>
      </c>
      <c r="B2490" s="14" t="str">
        <f>"MO" &amp; TEXT(A2490,"##000")</f>
        <v>MO053</v>
      </c>
      <c r="D2490" s="18"/>
      <c r="E2490" s="591" t="s">
        <v>2301</v>
      </c>
      <c r="F2490" s="592"/>
      <c r="G2490" s="592"/>
      <c r="H2490" s="592"/>
      <c r="I2490" s="328"/>
      <c r="J2490" s="362">
        <f>SUM(J2485:J2489)</f>
        <v>28522.925156249999</v>
      </c>
      <c r="K2490" s="365" t="str">
        <f>+G2485</f>
        <v>hs</v>
      </c>
      <c r="L2490" s="20"/>
      <c r="N2490" s="111">
        <f>+P2490+R2490</f>
        <v>28500</v>
      </c>
      <c r="O2490" s="27"/>
      <c r="P2490" s="27">
        <f>SUM(P2483:P2489)</f>
        <v>15000</v>
      </c>
      <c r="Q2490" s="26">
        <v>0.9</v>
      </c>
      <c r="R2490" s="287">
        <f>+Q2490*P2490</f>
        <v>13500</v>
      </c>
      <c r="S2490" s="288"/>
    </row>
    <row r="2491" spans="1:19">
      <c r="D2491" s="18"/>
      <c r="E2491" s="593" t="s">
        <v>101</v>
      </c>
      <c r="F2491" s="594"/>
      <c r="G2491" s="594"/>
      <c r="H2491" s="594"/>
      <c r="I2491" s="594"/>
      <c r="J2491" s="595"/>
      <c r="K2491" s="347"/>
      <c r="L2491" s="20"/>
      <c r="P2491" s="14" t="s">
        <v>2308</v>
      </c>
    </row>
    <row r="2492" spans="1:19">
      <c r="A2492" s="14" t="s">
        <v>119</v>
      </c>
      <c r="D2492" s="18">
        <v>1</v>
      </c>
      <c r="E2492" s="26" t="str">
        <f>VLOOKUP($A2492,MATMO,2,FALSE)</f>
        <v>Herramientas de Mano</v>
      </c>
      <c r="F2492" s="311">
        <v>1</v>
      </c>
      <c r="G2492" s="307" t="str">
        <f>VLOOKUP($A2492,MATMO,3,FALSE)</f>
        <v>gl</v>
      </c>
      <c r="H2492" s="110">
        <f>+(J2483+J2490)*$Q$5</f>
        <v>2002.87260625</v>
      </c>
      <c r="I2492" s="345" t="str">
        <f>+G2492</f>
        <v>gl</v>
      </c>
      <c r="J2492" s="350">
        <f t="shared" ref="J2492:J2496" si="475">+H2492*F2492</f>
        <v>2002.87260625</v>
      </c>
      <c r="K2492" s="360" t="s">
        <v>2299</v>
      </c>
      <c r="L2492" s="20"/>
      <c r="M2492" s="14" t="s">
        <v>2004</v>
      </c>
    </row>
    <row r="2493" spans="1:19">
      <c r="A2493" s="14" t="s">
        <v>118</v>
      </c>
      <c r="D2493" s="18">
        <v>2</v>
      </c>
      <c r="E2493" s="26" t="str">
        <f>VLOOKUP($A2493,MATMO,2,FALSE)</f>
        <v>-</v>
      </c>
      <c r="F2493" s="311"/>
      <c r="G2493" s="307" t="str">
        <f>VLOOKUP($A2493,MATMO,3,FALSE)</f>
        <v>-</v>
      </c>
      <c r="H2493" s="110">
        <f>VLOOKUP($A2493,MATMO,4,FALSE)*$Q$6</f>
        <v>0</v>
      </c>
      <c r="I2493" s="543" t="str">
        <f t="shared" ref="I2493:I2496" si="476">+G2493</f>
        <v>-</v>
      </c>
      <c r="J2493" s="538">
        <f t="shared" si="475"/>
        <v>0</v>
      </c>
      <c r="K2493" s="539" t="s">
        <v>2299</v>
      </c>
      <c r="L2493" s="20"/>
    </row>
    <row r="2494" spans="1:19">
      <c r="A2494" s="14" t="s">
        <v>118</v>
      </c>
      <c r="D2494" s="18">
        <v>3</v>
      </c>
      <c r="E2494" s="26" t="str">
        <f>VLOOKUP($A2494,MATMO,2,FALSE)</f>
        <v>-</v>
      </c>
      <c r="F2494" s="311"/>
      <c r="G2494" s="307" t="str">
        <f>VLOOKUP($A2494,MATMO,3,FALSE)</f>
        <v>-</v>
      </c>
      <c r="H2494" s="110">
        <f>VLOOKUP($A2494,MATMO,4,FALSE)*$Q$6</f>
        <v>0</v>
      </c>
      <c r="I2494" s="543" t="str">
        <f t="shared" si="476"/>
        <v>-</v>
      </c>
      <c r="J2494" s="538">
        <f t="shared" si="475"/>
        <v>0</v>
      </c>
      <c r="K2494" s="539" t="s">
        <v>2299</v>
      </c>
      <c r="L2494" s="20"/>
    </row>
    <row r="2495" spans="1:19">
      <c r="A2495" s="14" t="s">
        <v>118</v>
      </c>
      <c r="D2495" s="18">
        <v>4</v>
      </c>
      <c r="E2495" s="26" t="str">
        <f>VLOOKUP($A2495,MATMO,2,FALSE)</f>
        <v>-</v>
      </c>
      <c r="F2495" s="311"/>
      <c r="G2495" s="307" t="str">
        <f>VLOOKUP($A2495,MATMO,3,FALSE)</f>
        <v>-</v>
      </c>
      <c r="H2495" s="110">
        <f>VLOOKUP($A2495,MATMO,4,FALSE)*$Q$6</f>
        <v>0</v>
      </c>
      <c r="I2495" s="543" t="str">
        <f t="shared" si="476"/>
        <v>-</v>
      </c>
      <c r="J2495" s="538">
        <f t="shared" si="475"/>
        <v>0</v>
      </c>
      <c r="K2495" s="539" t="s">
        <v>2299</v>
      </c>
      <c r="L2495" s="20"/>
    </row>
    <row r="2496" spans="1:19">
      <c r="A2496" s="14" t="s">
        <v>118</v>
      </c>
      <c r="D2496" s="18">
        <v>5</v>
      </c>
      <c r="E2496" s="26" t="str">
        <f>VLOOKUP($A2496,MATMO,2,FALSE)</f>
        <v>-</v>
      </c>
      <c r="F2496" s="311"/>
      <c r="G2496" s="307" t="str">
        <f>VLOOKUP($A2496,MATMO,3,FALSE)</f>
        <v>-</v>
      </c>
      <c r="H2496" s="110">
        <f>VLOOKUP($A2496,MATMO,4,FALSE)*$Q$6</f>
        <v>0</v>
      </c>
      <c r="I2496" s="543" t="str">
        <f t="shared" si="476"/>
        <v>-</v>
      </c>
      <c r="J2496" s="538">
        <f t="shared" si="475"/>
        <v>0</v>
      </c>
      <c r="K2496" s="539" t="s">
        <v>2299</v>
      </c>
      <c r="L2496" s="20"/>
    </row>
    <row r="2497" spans="1:13">
      <c r="A2497" s="14">
        <f>A2450+1</f>
        <v>53</v>
      </c>
      <c r="B2497" s="14" t="str">
        <f>"E" &amp; TEXT(A2497,"##000")</f>
        <v>E053</v>
      </c>
      <c r="D2497" s="18"/>
      <c r="E2497" s="591" t="s">
        <v>2300</v>
      </c>
      <c r="F2497" s="592"/>
      <c r="G2497" s="592"/>
      <c r="H2497" s="592"/>
      <c r="I2497" s="328"/>
      <c r="J2497" s="362">
        <f>SUM(J2492:J2496)</f>
        <v>2002.87260625</v>
      </c>
      <c r="K2497" s="365" t="s">
        <v>116</v>
      </c>
      <c r="L2497" s="20"/>
    </row>
    <row r="2498" spans="1:13">
      <c r="D2498" s="18"/>
      <c r="E2498" s="596"/>
      <c r="F2498" s="597"/>
      <c r="G2498" s="597"/>
      <c r="H2498" s="597"/>
      <c r="I2498" s="597"/>
      <c r="J2498" s="598"/>
      <c r="K2498" s="348"/>
      <c r="L2498" s="20"/>
    </row>
    <row r="2499" spans="1:13">
      <c r="D2499" s="18"/>
      <c r="E2499" s="591" t="s">
        <v>2306</v>
      </c>
      <c r="F2499" s="592"/>
      <c r="G2499" s="592"/>
      <c r="H2499" s="592"/>
      <c r="I2499" s="328"/>
      <c r="J2499" s="308">
        <f>+J2497+J2490+J2483</f>
        <v>52074.687762499998</v>
      </c>
      <c r="K2499" s="365" t="str">
        <f>+F2460</f>
        <v>ud</v>
      </c>
      <c r="L2499" s="20"/>
    </row>
    <row r="2500" spans="1:13">
      <c r="D2500" s="18"/>
      <c r="E2500" s="591" t="s">
        <v>2305</v>
      </c>
      <c r="F2500" s="592"/>
      <c r="G2500" s="592"/>
      <c r="H2500" s="592"/>
      <c r="I2500" s="406">
        <f>+$Q$9</f>
        <v>1.6902999999999999</v>
      </c>
      <c r="J2500" s="308">
        <f>+$Q$9*J2499</f>
        <v>88021.844724953742</v>
      </c>
      <c r="K2500" s="365" t="str">
        <f>+F2460</f>
        <v>ud</v>
      </c>
      <c r="L2500" s="20"/>
    </row>
    <row r="2501" spans="1:13">
      <c r="A2501" s="14">
        <f>A2454+1</f>
        <v>53</v>
      </c>
      <c r="B2501" s="14" t="str">
        <f>"TR" &amp; TEXT(A2501,"##000")</f>
        <v>TR053</v>
      </c>
      <c r="C2501" s="14">
        <f>+C2454+1</f>
        <v>53</v>
      </c>
      <c r="D2501" s="18"/>
      <c r="E2501" s="591" t="s">
        <v>2304</v>
      </c>
      <c r="F2501" s="592"/>
      <c r="G2501" s="592"/>
      <c r="H2501" s="592"/>
      <c r="I2501" s="328"/>
      <c r="J2501" s="308">
        <f>+J2500</f>
        <v>88021.844724953742</v>
      </c>
      <c r="K2501" s="365" t="str">
        <f>+F2460</f>
        <v>ud</v>
      </c>
      <c r="L2501" s="20"/>
    </row>
    <row r="2502" spans="1:13" ht="16.5" thickBot="1">
      <c r="D2502" s="21"/>
      <c r="E2502" s="30"/>
      <c r="F2502" s="30"/>
      <c r="G2502" s="30"/>
      <c r="H2502" s="30"/>
      <c r="I2502" s="30"/>
      <c r="J2502" s="30"/>
      <c r="K2502" s="349"/>
      <c r="L2502" s="22"/>
    </row>
    <row r="2503" spans="1:13" ht="16.5" thickTop="1">
      <c r="D2503" s="15"/>
      <c r="E2503" s="16"/>
      <c r="F2503" s="16"/>
      <c r="G2503" s="16"/>
      <c r="H2503" s="16"/>
      <c r="I2503" s="16"/>
      <c r="J2503" s="16"/>
      <c r="K2503" s="16"/>
      <c r="L2503" s="17"/>
    </row>
    <row r="2504" spans="1:13">
      <c r="A2504" s="14" t="s">
        <v>1892</v>
      </c>
      <c r="D2504" s="18"/>
      <c r="E2504" s="23" t="s">
        <v>95</v>
      </c>
      <c r="F2504" s="364" t="str">
        <f>VLOOKUP($A2504,DATRUB,3,FALSE)</f>
        <v>RUBRO XIII:</v>
      </c>
      <c r="G2504" s="599" t="str">
        <f>VLOOKUP($A2504,DATRUB,4,FALSE)</f>
        <v>INSTALACIÓN SANITARIA</v>
      </c>
      <c r="H2504" s="599"/>
      <c r="I2504" s="599"/>
      <c r="J2504" s="599"/>
      <c r="K2504" s="599"/>
      <c r="L2504" s="20"/>
    </row>
    <row r="2505" spans="1:13" ht="35.1" customHeight="1">
      <c r="A2505" s="14" t="s">
        <v>2038</v>
      </c>
      <c r="D2505" s="18"/>
      <c r="E2505" s="23" t="s">
        <v>96</v>
      </c>
      <c r="F2505" s="399">
        <f>VLOOKUP($A2505,DATRUB,3,FALSE)</f>
        <v>13.2</v>
      </c>
      <c r="G2505" s="599" t="str">
        <f>VLOOKUP($A2505,DATRUB,4,FALSE)</f>
        <v>Artefactos y accesorios</v>
      </c>
      <c r="H2505" s="599"/>
      <c r="I2505" s="599"/>
      <c r="J2505" s="599"/>
      <c r="K2505" s="599"/>
      <c r="L2505" s="20"/>
    </row>
    <row r="2506" spans="1:13" ht="35.1" customHeight="1">
      <c r="A2506" s="14" t="s">
        <v>2038</v>
      </c>
      <c r="D2506" s="18"/>
      <c r="E2506" s="23" t="s">
        <v>97</v>
      </c>
      <c r="F2506" s="399">
        <f>VLOOKUP($A2506,DATRUB,3,FALSE)</f>
        <v>13.2</v>
      </c>
      <c r="G2506" s="599" t="str">
        <f>VLOOKUP($A2506,DATRUB,4,FALSE)</f>
        <v>Artefactos y accesorios</v>
      </c>
      <c r="H2506" s="599"/>
      <c r="I2506" s="599"/>
      <c r="J2506" s="599"/>
      <c r="K2506" s="599"/>
      <c r="L2506" s="20"/>
    </row>
    <row r="2507" spans="1:13">
      <c r="D2507" s="18"/>
      <c r="E2507" s="23" t="s">
        <v>98</v>
      </c>
      <c r="F2507" s="364" t="str">
        <f>VLOOKUP($A2506,DATRUB,5,FALSE)</f>
        <v>gl</v>
      </c>
      <c r="G2507" s="600"/>
      <c r="H2507" s="600"/>
      <c r="I2507" s="600"/>
      <c r="J2507" s="600"/>
      <c r="K2507" s="600"/>
      <c r="L2507" s="20"/>
    </row>
    <row r="2508" spans="1:13">
      <c r="D2508" s="18"/>
      <c r="E2508" s="364" t="s">
        <v>1158</v>
      </c>
      <c r="F2508" s="363" t="s">
        <v>1250</v>
      </c>
      <c r="G2508" s="364" t="s">
        <v>24</v>
      </c>
      <c r="H2508" s="364" t="s">
        <v>25</v>
      </c>
      <c r="I2508" s="364" t="s">
        <v>24</v>
      </c>
      <c r="J2508" s="364" t="s">
        <v>2298</v>
      </c>
      <c r="K2508" s="364" t="s">
        <v>24</v>
      </c>
      <c r="L2508" s="20"/>
    </row>
    <row r="2509" spans="1:13">
      <c r="D2509" s="18"/>
      <c r="E2509" s="593" t="s">
        <v>99</v>
      </c>
      <c r="F2509" s="594"/>
      <c r="G2509" s="594"/>
      <c r="H2509" s="594"/>
      <c r="I2509" s="594"/>
      <c r="J2509" s="594"/>
      <c r="K2509" s="595"/>
      <c r="L2509" s="20"/>
    </row>
    <row r="2510" spans="1:13">
      <c r="A2510" s="14" t="s">
        <v>2476</v>
      </c>
      <c r="D2510" s="18">
        <v>1</v>
      </c>
      <c r="E2510" s="355" t="str">
        <f t="shared" ref="E2510:E2529" si="477">VLOOKUP($A2510,MATMO,2,FALSE)</f>
        <v>Materiales Artefactos y accesorios</v>
      </c>
      <c r="F2510" s="356">
        <v>1</v>
      </c>
      <c r="G2510" s="357" t="str">
        <f t="shared" ref="G2510:G2529" si="478">VLOOKUP($A2510,MATMO,3,FALSE)</f>
        <v>gl</v>
      </c>
      <c r="H2510" s="358">
        <f t="shared" ref="H2510:H2529" si="479">VLOOKUP($A2510,MATMO,4,FALSE)*$Q$6</f>
        <v>62808.130000000012</v>
      </c>
      <c r="I2510" s="359" t="str">
        <f t="shared" ref="I2510:I2529" si="480">+G2510</f>
        <v>gl</v>
      </c>
      <c r="J2510" s="361">
        <f>+H2510*F2510</f>
        <v>62808.130000000012</v>
      </c>
      <c r="K2510" s="360" t="s">
        <v>2299</v>
      </c>
      <c r="L2510" s="20"/>
      <c r="M2510" s="14" t="s">
        <v>2005</v>
      </c>
    </row>
    <row r="2511" spans="1:13">
      <c r="A2511" s="14" t="s">
        <v>31</v>
      </c>
      <c r="D2511" s="18">
        <v>2</v>
      </c>
      <c r="E2511" s="26" t="str">
        <f t="shared" si="477"/>
        <v>-</v>
      </c>
      <c r="F2511" s="311"/>
      <c r="G2511" s="307" t="str">
        <f t="shared" si="478"/>
        <v>-</v>
      </c>
      <c r="H2511" s="351">
        <f t="shared" si="479"/>
        <v>0</v>
      </c>
      <c r="I2511" s="537" t="str">
        <f t="shared" si="480"/>
        <v>-</v>
      </c>
      <c r="J2511" s="538">
        <f t="shared" ref="J2511:J2529" si="481">+H2511*F2511</f>
        <v>0</v>
      </c>
      <c r="K2511" s="539" t="s">
        <v>2299</v>
      </c>
      <c r="L2511" s="20"/>
    </row>
    <row r="2512" spans="1:13">
      <c r="A2512" s="14" t="s">
        <v>31</v>
      </c>
      <c r="D2512" s="18">
        <v>3</v>
      </c>
      <c r="E2512" s="26" t="str">
        <f t="shared" si="477"/>
        <v>-</v>
      </c>
      <c r="F2512" s="311"/>
      <c r="G2512" s="307" t="str">
        <f t="shared" si="478"/>
        <v>-</v>
      </c>
      <c r="H2512" s="351">
        <f t="shared" si="479"/>
        <v>0</v>
      </c>
      <c r="I2512" s="537" t="str">
        <f t="shared" si="480"/>
        <v>-</v>
      </c>
      <c r="J2512" s="538">
        <f t="shared" si="481"/>
        <v>0</v>
      </c>
      <c r="K2512" s="539" t="s">
        <v>2299</v>
      </c>
      <c r="L2512" s="20"/>
    </row>
    <row r="2513" spans="1:12">
      <c r="A2513" s="14" t="s">
        <v>31</v>
      </c>
      <c r="D2513" s="18">
        <v>4</v>
      </c>
      <c r="E2513" s="26" t="str">
        <f t="shared" si="477"/>
        <v>-</v>
      </c>
      <c r="F2513" s="311"/>
      <c r="G2513" s="307" t="str">
        <f t="shared" si="478"/>
        <v>-</v>
      </c>
      <c r="H2513" s="351">
        <f t="shared" si="479"/>
        <v>0</v>
      </c>
      <c r="I2513" s="537" t="str">
        <f t="shared" si="480"/>
        <v>-</v>
      </c>
      <c r="J2513" s="538">
        <f t="shared" si="481"/>
        <v>0</v>
      </c>
      <c r="K2513" s="539" t="s">
        <v>2299</v>
      </c>
      <c r="L2513" s="20"/>
    </row>
    <row r="2514" spans="1:12">
      <c r="A2514" s="14" t="s">
        <v>31</v>
      </c>
      <c r="D2514" s="18">
        <v>5</v>
      </c>
      <c r="E2514" s="26" t="str">
        <f t="shared" si="477"/>
        <v>-</v>
      </c>
      <c r="F2514" s="311"/>
      <c r="G2514" s="307" t="str">
        <f t="shared" si="478"/>
        <v>-</v>
      </c>
      <c r="H2514" s="351">
        <f t="shared" si="479"/>
        <v>0</v>
      </c>
      <c r="I2514" s="537" t="str">
        <f t="shared" si="480"/>
        <v>-</v>
      </c>
      <c r="J2514" s="538">
        <f t="shared" si="481"/>
        <v>0</v>
      </c>
      <c r="K2514" s="539" t="s">
        <v>2299</v>
      </c>
      <c r="L2514" s="20"/>
    </row>
    <row r="2515" spans="1:12">
      <c r="A2515" s="14" t="s">
        <v>31</v>
      </c>
      <c r="D2515" s="18">
        <v>6</v>
      </c>
      <c r="E2515" s="26" t="str">
        <f t="shared" si="477"/>
        <v>-</v>
      </c>
      <c r="F2515" s="311"/>
      <c r="G2515" s="307" t="str">
        <f t="shared" si="478"/>
        <v>-</v>
      </c>
      <c r="H2515" s="351">
        <f t="shared" si="479"/>
        <v>0</v>
      </c>
      <c r="I2515" s="537" t="str">
        <f t="shared" si="480"/>
        <v>-</v>
      </c>
      <c r="J2515" s="538">
        <f t="shared" si="481"/>
        <v>0</v>
      </c>
      <c r="K2515" s="539" t="s">
        <v>2299</v>
      </c>
      <c r="L2515" s="20"/>
    </row>
    <row r="2516" spans="1:12">
      <c r="A2516" s="14" t="s">
        <v>31</v>
      </c>
      <c r="D2516" s="18">
        <v>7</v>
      </c>
      <c r="E2516" s="26" t="str">
        <f t="shared" si="477"/>
        <v>-</v>
      </c>
      <c r="F2516" s="311"/>
      <c r="G2516" s="307" t="str">
        <f t="shared" si="478"/>
        <v>-</v>
      </c>
      <c r="H2516" s="351">
        <f t="shared" si="479"/>
        <v>0</v>
      </c>
      <c r="I2516" s="537" t="str">
        <f t="shared" si="480"/>
        <v>-</v>
      </c>
      <c r="J2516" s="538">
        <f t="shared" si="481"/>
        <v>0</v>
      </c>
      <c r="K2516" s="539" t="s">
        <v>2299</v>
      </c>
      <c r="L2516" s="20"/>
    </row>
    <row r="2517" spans="1:12">
      <c r="A2517" s="14" t="s">
        <v>31</v>
      </c>
      <c r="D2517" s="18">
        <v>8</v>
      </c>
      <c r="E2517" s="26" t="str">
        <f t="shared" si="477"/>
        <v>-</v>
      </c>
      <c r="F2517" s="311"/>
      <c r="G2517" s="307" t="str">
        <f t="shared" si="478"/>
        <v>-</v>
      </c>
      <c r="H2517" s="351">
        <f t="shared" si="479"/>
        <v>0</v>
      </c>
      <c r="I2517" s="537" t="str">
        <f t="shared" si="480"/>
        <v>-</v>
      </c>
      <c r="J2517" s="538">
        <f t="shared" si="481"/>
        <v>0</v>
      </c>
      <c r="K2517" s="539" t="s">
        <v>2299</v>
      </c>
      <c r="L2517" s="20"/>
    </row>
    <row r="2518" spans="1:12">
      <c r="A2518" s="14" t="s">
        <v>31</v>
      </c>
      <c r="D2518" s="18">
        <v>9</v>
      </c>
      <c r="E2518" s="26" t="str">
        <f t="shared" si="477"/>
        <v>-</v>
      </c>
      <c r="F2518" s="311"/>
      <c r="G2518" s="307" t="str">
        <f t="shared" si="478"/>
        <v>-</v>
      </c>
      <c r="H2518" s="351">
        <f t="shared" si="479"/>
        <v>0</v>
      </c>
      <c r="I2518" s="537" t="str">
        <f t="shared" si="480"/>
        <v>-</v>
      </c>
      <c r="J2518" s="538">
        <f t="shared" si="481"/>
        <v>0</v>
      </c>
      <c r="K2518" s="539" t="s">
        <v>2299</v>
      </c>
      <c r="L2518" s="20"/>
    </row>
    <row r="2519" spans="1:12">
      <c r="A2519" s="14" t="s">
        <v>31</v>
      </c>
      <c r="D2519" s="18">
        <v>10</v>
      </c>
      <c r="E2519" s="26" t="str">
        <f t="shared" si="477"/>
        <v>-</v>
      </c>
      <c r="F2519" s="311"/>
      <c r="G2519" s="307" t="str">
        <f t="shared" si="478"/>
        <v>-</v>
      </c>
      <c r="H2519" s="351">
        <f t="shared" si="479"/>
        <v>0</v>
      </c>
      <c r="I2519" s="537" t="str">
        <f t="shared" si="480"/>
        <v>-</v>
      </c>
      <c r="J2519" s="538">
        <f t="shared" si="481"/>
        <v>0</v>
      </c>
      <c r="K2519" s="539" t="s">
        <v>2299</v>
      </c>
      <c r="L2519" s="20"/>
    </row>
    <row r="2520" spans="1:12">
      <c r="A2520" s="14" t="s">
        <v>31</v>
      </c>
      <c r="D2520" s="18">
        <v>11</v>
      </c>
      <c r="E2520" s="26" t="str">
        <f t="shared" si="477"/>
        <v>-</v>
      </c>
      <c r="F2520" s="311"/>
      <c r="G2520" s="307" t="str">
        <f t="shared" si="478"/>
        <v>-</v>
      </c>
      <c r="H2520" s="351">
        <f t="shared" si="479"/>
        <v>0</v>
      </c>
      <c r="I2520" s="537" t="str">
        <f t="shared" si="480"/>
        <v>-</v>
      </c>
      <c r="J2520" s="538">
        <f t="shared" si="481"/>
        <v>0</v>
      </c>
      <c r="K2520" s="539" t="s">
        <v>2299</v>
      </c>
      <c r="L2520" s="20"/>
    </row>
    <row r="2521" spans="1:12">
      <c r="A2521" s="14" t="s">
        <v>31</v>
      </c>
      <c r="D2521" s="18">
        <v>12</v>
      </c>
      <c r="E2521" s="26" t="str">
        <f t="shared" si="477"/>
        <v>-</v>
      </c>
      <c r="F2521" s="311"/>
      <c r="G2521" s="307" t="str">
        <f t="shared" si="478"/>
        <v>-</v>
      </c>
      <c r="H2521" s="352">
        <f t="shared" si="479"/>
        <v>0</v>
      </c>
      <c r="I2521" s="537" t="str">
        <f t="shared" si="480"/>
        <v>-</v>
      </c>
      <c r="J2521" s="538">
        <f t="shared" si="481"/>
        <v>0</v>
      </c>
      <c r="K2521" s="539" t="s">
        <v>2299</v>
      </c>
      <c r="L2521" s="20"/>
    </row>
    <row r="2522" spans="1:12">
      <c r="A2522" s="14" t="s">
        <v>31</v>
      </c>
      <c r="D2522" s="18">
        <v>13</v>
      </c>
      <c r="E2522" s="26" t="str">
        <f t="shared" si="477"/>
        <v>-</v>
      </c>
      <c r="F2522" s="311"/>
      <c r="G2522" s="307" t="str">
        <f t="shared" si="478"/>
        <v>-</v>
      </c>
      <c r="H2522" s="352">
        <f t="shared" si="479"/>
        <v>0</v>
      </c>
      <c r="I2522" s="537" t="str">
        <f t="shared" si="480"/>
        <v>-</v>
      </c>
      <c r="J2522" s="538">
        <f t="shared" si="481"/>
        <v>0</v>
      </c>
      <c r="K2522" s="539" t="s">
        <v>2299</v>
      </c>
      <c r="L2522" s="20"/>
    </row>
    <row r="2523" spans="1:12">
      <c r="A2523" s="14" t="s">
        <v>31</v>
      </c>
      <c r="D2523" s="18">
        <v>14</v>
      </c>
      <c r="E2523" s="26" t="str">
        <f t="shared" si="477"/>
        <v>-</v>
      </c>
      <c r="F2523" s="311"/>
      <c r="G2523" s="307" t="str">
        <f t="shared" si="478"/>
        <v>-</v>
      </c>
      <c r="H2523" s="352">
        <f t="shared" si="479"/>
        <v>0</v>
      </c>
      <c r="I2523" s="537" t="str">
        <f t="shared" si="480"/>
        <v>-</v>
      </c>
      <c r="J2523" s="538">
        <f t="shared" si="481"/>
        <v>0</v>
      </c>
      <c r="K2523" s="539" t="s">
        <v>2299</v>
      </c>
      <c r="L2523" s="20"/>
    </row>
    <row r="2524" spans="1:12">
      <c r="A2524" s="14" t="s">
        <v>31</v>
      </c>
      <c r="D2524" s="18">
        <v>15</v>
      </c>
      <c r="E2524" s="26" t="str">
        <f t="shared" si="477"/>
        <v>-</v>
      </c>
      <c r="F2524" s="311"/>
      <c r="G2524" s="307" t="str">
        <f t="shared" si="478"/>
        <v>-</v>
      </c>
      <c r="H2524" s="352">
        <f t="shared" si="479"/>
        <v>0</v>
      </c>
      <c r="I2524" s="537" t="str">
        <f t="shared" si="480"/>
        <v>-</v>
      </c>
      <c r="J2524" s="538">
        <f t="shared" si="481"/>
        <v>0</v>
      </c>
      <c r="K2524" s="539" t="s">
        <v>2299</v>
      </c>
      <c r="L2524" s="20"/>
    </row>
    <row r="2525" spans="1:12">
      <c r="A2525" s="14" t="s">
        <v>31</v>
      </c>
      <c r="D2525" s="18">
        <v>16</v>
      </c>
      <c r="E2525" s="26" t="str">
        <f t="shared" si="477"/>
        <v>-</v>
      </c>
      <c r="F2525" s="311"/>
      <c r="G2525" s="307" t="str">
        <f t="shared" si="478"/>
        <v>-</v>
      </c>
      <c r="H2525" s="352">
        <f t="shared" si="479"/>
        <v>0</v>
      </c>
      <c r="I2525" s="537" t="str">
        <f t="shared" si="480"/>
        <v>-</v>
      </c>
      <c r="J2525" s="538">
        <f t="shared" si="481"/>
        <v>0</v>
      </c>
      <c r="K2525" s="539" t="s">
        <v>2299</v>
      </c>
      <c r="L2525" s="20"/>
    </row>
    <row r="2526" spans="1:12">
      <c r="A2526" s="14" t="s">
        <v>31</v>
      </c>
      <c r="D2526" s="18">
        <v>17</v>
      </c>
      <c r="E2526" s="26" t="str">
        <f t="shared" si="477"/>
        <v>-</v>
      </c>
      <c r="F2526" s="311"/>
      <c r="G2526" s="307" t="str">
        <f t="shared" si="478"/>
        <v>-</v>
      </c>
      <c r="H2526" s="352">
        <f t="shared" si="479"/>
        <v>0</v>
      </c>
      <c r="I2526" s="537" t="str">
        <f t="shared" si="480"/>
        <v>-</v>
      </c>
      <c r="J2526" s="538">
        <f t="shared" si="481"/>
        <v>0</v>
      </c>
      <c r="K2526" s="539" t="s">
        <v>2299</v>
      </c>
      <c r="L2526" s="20"/>
    </row>
    <row r="2527" spans="1:12">
      <c r="A2527" s="14" t="s">
        <v>31</v>
      </c>
      <c r="D2527" s="18">
        <v>18</v>
      </c>
      <c r="E2527" s="26" t="str">
        <f t="shared" si="477"/>
        <v>-</v>
      </c>
      <c r="F2527" s="311"/>
      <c r="G2527" s="307" t="str">
        <f t="shared" si="478"/>
        <v>-</v>
      </c>
      <c r="H2527" s="352">
        <f t="shared" si="479"/>
        <v>0</v>
      </c>
      <c r="I2527" s="537" t="str">
        <f t="shared" si="480"/>
        <v>-</v>
      </c>
      <c r="J2527" s="538">
        <f t="shared" si="481"/>
        <v>0</v>
      </c>
      <c r="K2527" s="539" t="s">
        <v>2299</v>
      </c>
      <c r="L2527" s="20"/>
    </row>
    <row r="2528" spans="1:12">
      <c r="A2528" s="14" t="s">
        <v>31</v>
      </c>
      <c r="D2528" s="18">
        <v>19</v>
      </c>
      <c r="E2528" s="26" t="str">
        <f t="shared" si="477"/>
        <v>-</v>
      </c>
      <c r="F2528" s="311"/>
      <c r="G2528" s="307" t="str">
        <f t="shared" si="478"/>
        <v>-</v>
      </c>
      <c r="H2528" s="352">
        <f t="shared" si="479"/>
        <v>0</v>
      </c>
      <c r="I2528" s="537" t="str">
        <f t="shared" si="480"/>
        <v>-</v>
      </c>
      <c r="J2528" s="538">
        <f t="shared" si="481"/>
        <v>0</v>
      </c>
      <c r="K2528" s="539" t="s">
        <v>2299</v>
      </c>
      <c r="L2528" s="20"/>
    </row>
    <row r="2529" spans="1:19">
      <c r="A2529" s="14" t="s">
        <v>31</v>
      </c>
      <c r="D2529" s="18">
        <v>20</v>
      </c>
      <c r="E2529" s="26" t="str">
        <f t="shared" si="477"/>
        <v>-</v>
      </c>
      <c r="F2529" s="311"/>
      <c r="G2529" s="307" t="str">
        <f t="shared" si="478"/>
        <v>-</v>
      </c>
      <c r="H2529" s="352">
        <f t="shared" si="479"/>
        <v>0</v>
      </c>
      <c r="I2529" s="537" t="str">
        <f t="shared" si="480"/>
        <v>-</v>
      </c>
      <c r="J2529" s="541">
        <f t="shared" si="481"/>
        <v>0</v>
      </c>
      <c r="K2529" s="539" t="s">
        <v>2299</v>
      </c>
      <c r="L2529" s="20"/>
    </row>
    <row r="2530" spans="1:19">
      <c r="A2530" s="14">
        <f>A2497+1</f>
        <v>54</v>
      </c>
      <c r="B2530" s="14" t="str">
        <f>"MA" &amp; TEXT(A2530,"##000")</f>
        <v>MA054</v>
      </c>
      <c r="D2530" s="18"/>
      <c r="E2530" s="591" t="s">
        <v>2302</v>
      </c>
      <c r="F2530" s="592"/>
      <c r="G2530" s="592"/>
      <c r="H2530" s="592"/>
      <c r="I2530" s="328"/>
      <c r="J2530" s="353">
        <f>SUM(J2510:J2529)</f>
        <v>62808.130000000012</v>
      </c>
      <c r="K2530" s="365" t="str">
        <f>+F2507</f>
        <v>gl</v>
      </c>
      <c r="L2530" s="20"/>
      <c r="O2530" s="27" t="s">
        <v>1525</v>
      </c>
      <c r="P2530" s="110">
        <v>5000</v>
      </c>
    </row>
    <row r="2531" spans="1:19">
      <c r="D2531" s="18"/>
      <c r="E2531" s="593" t="s">
        <v>100</v>
      </c>
      <c r="F2531" s="594"/>
      <c r="G2531" s="594"/>
      <c r="H2531" s="594"/>
      <c r="I2531" s="594"/>
      <c r="J2531" s="595"/>
      <c r="K2531" s="347"/>
      <c r="L2531" s="20"/>
      <c r="O2531" s="27" t="s">
        <v>1524</v>
      </c>
      <c r="P2531" s="110">
        <v>0</v>
      </c>
    </row>
    <row r="2532" spans="1:19">
      <c r="A2532" s="14" t="s">
        <v>84</v>
      </c>
      <c r="D2532" s="18">
        <v>1</v>
      </c>
      <c r="E2532" s="26" t="str">
        <f>VLOOKUP($A2532,MATMO,2,FALSE)</f>
        <v>Oficial</v>
      </c>
      <c r="F2532" s="311">
        <v>70</v>
      </c>
      <c r="G2532" s="307" t="str">
        <f>VLOOKUP($A2532,MATMO,3,FALSE)</f>
        <v>hs</v>
      </c>
      <c r="H2532" s="110">
        <f>VLOOKUP($A2532,MATMO,4,FALSE)*$Q$7</f>
        <v>55.38</v>
      </c>
      <c r="I2532" s="354" t="str">
        <f t="shared" ref="I2532:I2536" si="482">+G2532</f>
        <v>hs</v>
      </c>
      <c r="J2532" s="350">
        <f t="shared" ref="J2532:J2536" si="483">+H2532*F2532</f>
        <v>3876.6000000000004</v>
      </c>
      <c r="K2532" s="360" t="s">
        <v>2299</v>
      </c>
      <c r="L2532" s="20"/>
      <c r="M2532" s="14" t="s">
        <v>2006</v>
      </c>
      <c r="O2532" s="27" t="s">
        <v>1526</v>
      </c>
      <c r="P2532" s="110">
        <v>0</v>
      </c>
    </row>
    <row r="2533" spans="1:19">
      <c r="A2533" s="14" t="s">
        <v>85</v>
      </c>
      <c r="D2533" s="18">
        <v>2</v>
      </c>
      <c r="E2533" s="26" t="str">
        <f>VLOOKUP($A2533,MATMO,2,FALSE)</f>
        <v>Ayudante</v>
      </c>
      <c r="F2533" s="311">
        <v>21</v>
      </c>
      <c r="G2533" s="307" t="str">
        <f>VLOOKUP($A2533,MATMO,3,FALSE)</f>
        <v>hs</v>
      </c>
      <c r="H2533" s="110">
        <f>VLOOKUP($A2533,MATMO,4,FALSE)*$Q$7</f>
        <v>46.87</v>
      </c>
      <c r="I2533" s="354" t="str">
        <f t="shared" si="482"/>
        <v>hs</v>
      </c>
      <c r="J2533" s="350">
        <f t="shared" si="483"/>
        <v>984.27</v>
      </c>
      <c r="K2533" s="360" t="s">
        <v>2299</v>
      </c>
      <c r="L2533" s="20"/>
      <c r="O2533" s="27" t="s">
        <v>1527</v>
      </c>
      <c r="P2533" s="110">
        <v>0</v>
      </c>
    </row>
    <row r="2534" spans="1:19">
      <c r="A2534" s="14" t="s">
        <v>2311</v>
      </c>
      <c r="D2534" s="18">
        <v>3</v>
      </c>
      <c r="E2534" s="26" t="str">
        <f>VLOOKUP($A2534,MATMO,2,FALSE)</f>
        <v>Cargas Sociales Oficial</v>
      </c>
      <c r="F2534" s="311">
        <f>+F2532</f>
        <v>70</v>
      </c>
      <c r="G2534" s="307" t="str">
        <f>VLOOKUP($A2534,MATMO,3,FALSE)</f>
        <v>hs</v>
      </c>
      <c r="H2534" s="110">
        <f>VLOOKUP($A2534,MATMO,4,FALSE)*$Q$7</f>
        <v>52.742782499999997</v>
      </c>
      <c r="I2534" s="354" t="str">
        <f t="shared" si="482"/>
        <v>hs</v>
      </c>
      <c r="J2534" s="350">
        <f t="shared" si="483"/>
        <v>3691.9947749999997</v>
      </c>
      <c r="K2534" s="360" t="s">
        <v>2299</v>
      </c>
      <c r="L2534" s="20"/>
      <c r="O2534" s="27"/>
      <c r="P2534" s="110">
        <v>0</v>
      </c>
    </row>
    <row r="2535" spans="1:19">
      <c r="A2535" s="14" t="s">
        <v>2312</v>
      </c>
      <c r="D2535" s="18">
        <v>4</v>
      </c>
      <c r="E2535" s="26" t="str">
        <f>VLOOKUP($A2535,MATMO,2,FALSE)</f>
        <v>Cargas Sociales Ayudante</v>
      </c>
      <c r="F2535" s="311">
        <f>+F2533</f>
        <v>21</v>
      </c>
      <c r="G2535" s="307" t="str">
        <f>VLOOKUP($A2535,MATMO,3,FALSE)</f>
        <v>hs</v>
      </c>
      <c r="H2535" s="110">
        <f>VLOOKUP($A2535,MATMO,4,FALSE)*$Q$7</f>
        <v>45.108248750000001</v>
      </c>
      <c r="I2535" s="354" t="str">
        <f t="shared" si="482"/>
        <v>hs</v>
      </c>
      <c r="J2535" s="350">
        <f t="shared" si="483"/>
        <v>947.27322375000006</v>
      </c>
      <c r="K2535" s="360" t="s">
        <v>2299</v>
      </c>
      <c r="L2535" s="20"/>
      <c r="O2535" s="27"/>
      <c r="P2535" s="110">
        <v>0</v>
      </c>
    </row>
    <row r="2536" spans="1:19" ht="16.5" thickBot="1">
      <c r="A2536" s="14" t="s">
        <v>83</v>
      </c>
      <c r="D2536" s="18">
        <v>5</v>
      </c>
      <c r="E2536" s="26" t="str">
        <f>VLOOKUP($A2536,MATMO,2,FALSE)</f>
        <v>-</v>
      </c>
      <c r="F2536" s="311"/>
      <c r="G2536" s="307" t="str">
        <f>VLOOKUP($A2536,MATMO,3,FALSE)</f>
        <v>-</v>
      </c>
      <c r="H2536" s="110">
        <f>VLOOKUP($A2536,MATMO,4,FALSE)*$Q$7</f>
        <v>0</v>
      </c>
      <c r="I2536" s="537" t="str">
        <f t="shared" si="482"/>
        <v>-</v>
      </c>
      <c r="J2536" s="538">
        <f t="shared" si="483"/>
        <v>0</v>
      </c>
      <c r="K2536" s="539" t="s">
        <v>2299</v>
      </c>
      <c r="L2536" s="20"/>
      <c r="O2536" s="27"/>
      <c r="P2536" s="110">
        <v>0</v>
      </c>
      <c r="R2536" s="29" t="s">
        <v>2307</v>
      </c>
    </row>
    <row r="2537" spans="1:19" ht="16.5" thickBot="1">
      <c r="A2537" s="14">
        <f>A2497+1</f>
        <v>54</v>
      </c>
      <c r="B2537" s="14" t="str">
        <f>"MO" &amp; TEXT(A2537,"##000")</f>
        <v>MO054</v>
      </c>
      <c r="D2537" s="18"/>
      <c r="E2537" s="591" t="s">
        <v>2301</v>
      </c>
      <c r="F2537" s="592"/>
      <c r="G2537" s="592"/>
      <c r="H2537" s="592"/>
      <c r="I2537" s="328"/>
      <c r="J2537" s="362">
        <f>SUM(J2532:J2536)</f>
        <v>9500.1379987500004</v>
      </c>
      <c r="K2537" s="365" t="str">
        <f>+G2532</f>
        <v>hs</v>
      </c>
      <c r="L2537" s="20"/>
      <c r="N2537" s="111">
        <f>+P2537+R2537</f>
        <v>9500</v>
      </c>
      <c r="O2537" s="27"/>
      <c r="P2537" s="27">
        <f>SUM(P2530:P2536)</f>
        <v>5000</v>
      </c>
      <c r="Q2537" s="26">
        <v>0.9</v>
      </c>
      <c r="R2537" s="287">
        <f>+Q2537*P2537</f>
        <v>4500</v>
      </c>
      <c r="S2537" s="288"/>
    </row>
    <row r="2538" spans="1:19">
      <c r="D2538" s="18"/>
      <c r="E2538" s="593" t="s">
        <v>101</v>
      </c>
      <c r="F2538" s="594"/>
      <c r="G2538" s="594"/>
      <c r="H2538" s="594"/>
      <c r="I2538" s="594"/>
      <c r="J2538" s="595"/>
      <c r="K2538" s="347"/>
      <c r="L2538" s="20"/>
      <c r="P2538" s="14" t="s">
        <v>2308</v>
      </c>
    </row>
    <row r="2539" spans="1:19">
      <c r="A2539" s="14" t="s">
        <v>119</v>
      </c>
      <c r="D2539" s="18">
        <v>1</v>
      </c>
      <c r="E2539" s="26" t="str">
        <f>VLOOKUP($A2539,MATMO,2,FALSE)</f>
        <v>Herramientas de Mano</v>
      </c>
      <c r="F2539" s="311">
        <v>1</v>
      </c>
      <c r="G2539" s="307" t="str">
        <f>VLOOKUP($A2539,MATMO,3,FALSE)</f>
        <v>gl</v>
      </c>
      <c r="H2539" s="110">
        <f>+(J2530+J2537)*$Q$5</f>
        <v>2892.3307199500009</v>
      </c>
      <c r="I2539" s="345" t="str">
        <f>+G2539</f>
        <v>gl</v>
      </c>
      <c r="J2539" s="350">
        <f t="shared" ref="J2539:J2543" si="484">+H2539*F2539</f>
        <v>2892.3307199500009</v>
      </c>
      <c r="K2539" s="360" t="s">
        <v>2299</v>
      </c>
      <c r="L2539" s="20"/>
      <c r="M2539" s="14" t="s">
        <v>2004</v>
      </c>
    </row>
    <row r="2540" spans="1:19">
      <c r="A2540" s="14" t="s">
        <v>118</v>
      </c>
      <c r="D2540" s="18">
        <v>2</v>
      </c>
      <c r="E2540" s="26" t="str">
        <f>VLOOKUP($A2540,MATMO,2,FALSE)</f>
        <v>-</v>
      </c>
      <c r="F2540" s="311"/>
      <c r="G2540" s="307" t="str">
        <f>VLOOKUP($A2540,MATMO,3,FALSE)</f>
        <v>-</v>
      </c>
      <c r="H2540" s="110">
        <f>VLOOKUP($A2540,MATMO,4,FALSE)*$Q$6</f>
        <v>0</v>
      </c>
      <c r="I2540" s="543" t="str">
        <f t="shared" ref="I2540:I2543" si="485">+G2540</f>
        <v>-</v>
      </c>
      <c r="J2540" s="538">
        <f t="shared" si="484"/>
        <v>0</v>
      </c>
      <c r="K2540" s="539" t="s">
        <v>2299</v>
      </c>
      <c r="L2540" s="20"/>
    </row>
    <row r="2541" spans="1:19">
      <c r="A2541" s="14" t="s">
        <v>118</v>
      </c>
      <c r="D2541" s="18">
        <v>3</v>
      </c>
      <c r="E2541" s="26" t="str">
        <f>VLOOKUP($A2541,MATMO,2,FALSE)</f>
        <v>-</v>
      </c>
      <c r="F2541" s="311"/>
      <c r="G2541" s="307" t="str">
        <f>VLOOKUP($A2541,MATMO,3,FALSE)</f>
        <v>-</v>
      </c>
      <c r="H2541" s="110">
        <f>VLOOKUP($A2541,MATMO,4,FALSE)*$Q$6</f>
        <v>0</v>
      </c>
      <c r="I2541" s="543" t="str">
        <f t="shared" si="485"/>
        <v>-</v>
      </c>
      <c r="J2541" s="538">
        <f t="shared" si="484"/>
        <v>0</v>
      </c>
      <c r="K2541" s="539" t="s">
        <v>2299</v>
      </c>
      <c r="L2541" s="20"/>
    </row>
    <row r="2542" spans="1:19">
      <c r="A2542" s="14" t="s">
        <v>118</v>
      </c>
      <c r="D2542" s="18">
        <v>4</v>
      </c>
      <c r="E2542" s="26" t="str">
        <f>VLOOKUP($A2542,MATMO,2,FALSE)</f>
        <v>-</v>
      </c>
      <c r="F2542" s="311"/>
      <c r="G2542" s="307" t="str">
        <f>VLOOKUP($A2542,MATMO,3,FALSE)</f>
        <v>-</v>
      </c>
      <c r="H2542" s="110">
        <f>VLOOKUP($A2542,MATMO,4,FALSE)*$Q$6</f>
        <v>0</v>
      </c>
      <c r="I2542" s="543" t="str">
        <f t="shared" si="485"/>
        <v>-</v>
      </c>
      <c r="J2542" s="538">
        <f t="shared" si="484"/>
        <v>0</v>
      </c>
      <c r="K2542" s="539" t="s">
        <v>2299</v>
      </c>
      <c r="L2542" s="20"/>
    </row>
    <row r="2543" spans="1:19">
      <c r="A2543" s="14" t="s">
        <v>118</v>
      </c>
      <c r="D2543" s="18">
        <v>5</v>
      </c>
      <c r="E2543" s="26" t="str">
        <f>VLOOKUP($A2543,MATMO,2,FALSE)</f>
        <v>-</v>
      </c>
      <c r="F2543" s="311"/>
      <c r="G2543" s="307" t="str">
        <f>VLOOKUP($A2543,MATMO,3,FALSE)</f>
        <v>-</v>
      </c>
      <c r="H2543" s="110">
        <f>VLOOKUP($A2543,MATMO,4,FALSE)*$Q$6</f>
        <v>0</v>
      </c>
      <c r="I2543" s="543" t="str">
        <f t="shared" si="485"/>
        <v>-</v>
      </c>
      <c r="J2543" s="538">
        <f t="shared" si="484"/>
        <v>0</v>
      </c>
      <c r="K2543" s="539" t="s">
        <v>2299</v>
      </c>
      <c r="L2543" s="20"/>
    </row>
    <row r="2544" spans="1:19">
      <c r="A2544" s="14">
        <f>A2497+1</f>
        <v>54</v>
      </c>
      <c r="B2544" s="14" t="str">
        <f>"E" &amp; TEXT(A2544,"##000")</f>
        <v>E054</v>
      </c>
      <c r="D2544" s="18"/>
      <c r="E2544" s="591" t="s">
        <v>2300</v>
      </c>
      <c r="F2544" s="592"/>
      <c r="G2544" s="592"/>
      <c r="H2544" s="592"/>
      <c r="I2544" s="328"/>
      <c r="J2544" s="362">
        <f>SUM(J2539:J2543)</f>
        <v>2892.3307199500009</v>
      </c>
      <c r="K2544" s="365" t="s">
        <v>116</v>
      </c>
      <c r="L2544" s="20"/>
    </row>
    <row r="2545" spans="1:13">
      <c r="D2545" s="18"/>
      <c r="E2545" s="596"/>
      <c r="F2545" s="597"/>
      <c r="G2545" s="597"/>
      <c r="H2545" s="597"/>
      <c r="I2545" s="597"/>
      <c r="J2545" s="598"/>
      <c r="K2545" s="348"/>
      <c r="L2545" s="20"/>
    </row>
    <row r="2546" spans="1:13">
      <c r="D2546" s="18"/>
      <c r="E2546" s="591" t="s">
        <v>2306</v>
      </c>
      <c r="F2546" s="592"/>
      <c r="G2546" s="592"/>
      <c r="H2546" s="592"/>
      <c r="I2546" s="328"/>
      <c r="J2546" s="308">
        <f>+J2544+J2537+J2530</f>
        <v>75200.598718700014</v>
      </c>
      <c r="K2546" s="365" t="str">
        <f>+F2507</f>
        <v>gl</v>
      </c>
      <c r="L2546" s="20"/>
    </row>
    <row r="2547" spans="1:13">
      <c r="D2547" s="18"/>
      <c r="E2547" s="591" t="s">
        <v>2305</v>
      </c>
      <c r="F2547" s="592"/>
      <c r="G2547" s="592"/>
      <c r="H2547" s="592"/>
      <c r="I2547" s="406">
        <f>+$Q$9</f>
        <v>1.6902999999999999</v>
      </c>
      <c r="J2547" s="308">
        <f>+$Q$9*J2546</f>
        <v>127111.57201421863</v>
      </c>
      <c r="K2547" s="365" t="str">
        <f>+F2507</f>
        <v>gl</v>
      </c>
      <c r="L2547" s="20"/>
    </row>
    <row r="2548" spans="1:13">
      <c r="A2548" s="14">
        <f>A2501+1</f>
        <v>54</v>
      </c>
      <c r="B2548" s="14" t="str">
        <f>"TR" &amp; TEXT(A2548,"##000")</f>
        <v>TR054</v>
      </c>
      <c r="C2548" s="14">
        <f>+C2501+1</f>
        <v>54</v>
      </c>
      <c r="D2548" s="18"/>
      <c r="E2548" s="591" t="s">
        <v>2304</v>
      </c>
      <c r="F2548" s="592"/>
      <c r="G2548" s="592"/>
      <c r="H2548" s="592"/>
      <c r="I2548" s="328"/>
      <c r="J2548" s="308">
        <f>+J2547</f>
        <v>127111.57201421863</v>
      </c>
      <c r="K2548" s="365" t="str">
        <f>+F2507</f>
        <v>gl</v>
      </c>
      <c r="L2548" s="20"/>
    </row>
    <row r="2549" spans="1:13" ht="16.5" thickBot="1">
      <c r="D2549" s="21"/>
      <c r="E2549" s="30"/>
      <c r="F2549" s="30"/>
      <c r="G2549" s="30"/>
      <c r="H2549" s="30"/>
      <c r="I2549" s="30"/>
      <c r="J2549" s="30"/>
      <c r="K2549" s="349"/>
      <c r="L2549" s="22"/>
    </row>
    <row r="2550" spans="1:13" ht="16.5" thickTop="1">
      <c r="D2550" s="15"/>
      <c r="E2550" s="16"/>
      <c r="F2550" s="16"/>
      <c r="G2550" s="16"/>
      <c r="H2550" s="16"/>
      <c r="I2550" s="16"/>
      <c r="J2550" s="16"/>
      <c r="K2550" s="16"/>
      <c r="L2550" s="17"/>
    </row>
    <row r="2551" spans="1:13">
      <c r="A2551" s="14" t="s">
        <v>1892</v>
      </c>
      <c r="D2551" s="18"/>
      <c r="E2551" s="23" t="s">
        <v>95</v>
      </c>
      <c r="F2551" s="364" t="str">
        <f>VLOOKUP($A2551,DATRUB,3,FALSE)</f>
        <v>RUBRO XIII:</v>
      </c>
      <c r="G2551" s="599" t="str">
        <f>VLOOKUP($A2551,DATRUB,4,FALSE)</f>
        <v>INSTALACIÓN SANITARIA</v>
      </c>
      <c r="H2551" s="599"/>
      <c r="I2551" s="599"/>
      <c r="J2551" s="599"/>
      <c r="K2551" s="599"/>
      <c r="L2551" s="20"/>
    </row>
    <row r="2552" spans="1:13" ht="35.1" customHeight="1">
      <c r="A2552" s="14" t="s">
        <v>2039</v>
      </c>
      <c r="D2552" s="18"/>
      <c r="E2552" s="23" t="s">
        <v>96</v>
      </c>
      <c r="F2552" s="399">
        <f>VLOOKUP($A2552,DATRUB,3,FALSE)</f>
        <v>13.3</v>
      </c>
      <c r="G2552" s="599" t="str">
        <f>VLOOKUP($A2552,DATRUB,4,FALSE)</f>
        <v>Tanque de reserva y bombeo</v>
      </c>
      <c r="H2552" s="599"/>
      <c r="I2552" s="599"/>
      <c r="J2552" s="599"/>
      <c r="K2552" s="599"/>
      <c r="L2552" s="20"/>
    </row>
    <row r="2553" spans="1:13" ht="35.1" customHeight="1">
      <c r="A2553" s="14" t="s">
        <v>2039</v>
      </c>
      <c r="D2553" s="18"/>
      <c r="E2553" s="23" t="s">
        <v>97</v>
      </c>
      <c r="F2553" s="399">
        <f>VLOOKUP($A2553,DATRUB,3,FALSE)</f>
        <v>13.3</v>
      </c>
      <c r="G2553" s="599" t="str">
        <f>VLOOKUP($A2553,DATRUB,4,FALSE)</f>
        <v>Tanque de reserva y bombeo</v>
      </c>
      <c r="H2553" s="599"/>
      <c r="I2553" s="599"/>
      <c r="J2553" s="599"/>
      <c r="K2553" s="599"/>
      <c r="L2553" s="20"/>
    </row>
    <row r="2554" spans="1:13">
      <c r="D2554" s="18"/>
      <c r="E2554" s="23" t="s">
        <v>98</v>
      </c>
      <c r="F2554" s="364" t="str">
        <f>VLOOKUP($A2553,DATRUB,5,FALSE)</f>
        <v>gl</v>
      </c>
      <c r="G2554" s="600"/>
      <c r="H2554" s="600"/>
      <c r="I2554" s="600"/>
      <c r="J2554" s="600"/>
      <c r="K2554" s="600"/>
      <c r="L2554" s="20"/>
    </row>
    <row r="2555" spans="1:13">
      <c r="D2555" s="18"/>
      <c r="E2555" s="364" t="s">
        <v>1158</v>
      </c>
      <c r="F2555" s="363" t="s">
        <v>1250</v>
      </c>
      <c r="G2555" s="364" t="s">
        <v>24</v>
      </c>
      <c r="H2555" s="364" t="s">
        <v>25</v>
      </c>
      <c r="I2555" s="364" t="s">
        <v>24</v>
      </c>
      <c r="J2555" s="364" t="s">
        <v>2298</v>
      </c>
      <c r="K2555" s="364" t="s">
        <v>24</v>
      </c>
      <c r="L2555" s="20"/>
    </row>
    <row r="2556" spans="1:13">
      <c r="D2556" s="18"/>
      <c r="E2556" s="593" t="s">
        <v>99</v>
      </c>
      <c r="F2556" s="594"/>
      <c r="G2556" s="594"/>
      <c r="H2556" s="594"/>
      <c r="I2556" s="594"/>
      <c r="J2556" s="594"/>
      <c r="K2556" s="595"/>
      <c r="L2556" s="20"/>
    </row>
    <row r="2557" spans="1:13">
      <c r="A2557" s="14" t="s">
        <v>2483</v>
      </c>
      <c r="D2557" s="18">
        <v>1</v>
      </c>
      <c r="E2557" s="355" t="str">
        <f t="shared" ref="E2557:E2576" si="486">VLOOKUP($A2557,MATMO,2,FALSE)</f>
        <v>Materiales Tanque de reserva y bombeo</v>
      </c>
      <c r="F2557" s="356">
        <v>1</v>
      </c>
      <c r="G2557" s="357" t="str">
        <f t="shared" ref="G2557:G2576" si="487">VLOOKUP($A2557,MATMO,3,FALSE)</f>
        <v>gl</v>
      </c>
      <c r="H2557" s="358">
        <f t="shared" ref="H2557:H2576" si="488">VLOOKUP($A2557,MATMO,4,FALSE)*$Q$6</f>
        <v>27262.708000000002</v>
      </c>
      <c r="I2557" s="359" t="str">
        <f t="shared" ref="I2557:I2576" si="489">+G2557</f>
        <v>gl</v>
      </c>
      <c r="J2557" s="361">
        <f>+H2557*F2557</f>
        <v>27262.708000000002</v>
      </c>
      <c r="K2557" s="360" t="s">
        <v>2299</v>
      </c>
      <c r="L2557" s="20"/>
      <c r="M2557" s="14" t="s">
        <v>2005</v>
      </c>
    </row>
    <row r="2558" spans="1:13">
      <c r="A2558" s="14" t="s">
        <v>31</v>
      </c>
      <c r="D2558" s="18">
        <v>2</v>
      </c>
      <c r="E2558" s="26" t="str">
        <f t="shared" si="486"/>
        <v>-</v>
      </c>
      <c r="F2558" s="311"/>
      <c r="G2558" s="307" t="str">
        <f t="shared" si="487"/>
        <v>-</v>
      </c>
      <c r="H2558" s="351">
        <f t="shared" si="488"/>
        <v>0</v>
      </c>
      <c r="I2558" s="537" t="str">
        <f t="shared" si="489"/>
        <v>-</v>
      </c>
      <c r="J2558" s="538">
        <f t="shared" ref="J2558:J2576" si="490">+H2558*F2558</f>
        <v>0</v>
      </c>
      <c r="K2558" s="539" t="s">
        <v>2299</v>
      </c>
      <c r="L2558" s="20"/>
    </row>
    <row r="2559" spans="1:13">
      <c r="A2559" s="14" t="s">
        <v>31</v>
      </c>
      <c r="D2559" s="18">
        <v>3</v>
      </c>
      <c r="E2559" s="26" t="str">
        <f t="shared" si="486"/>
        <v>-</v>
      </c>
      <c r="F2559" s="311"/>
      <c r="G2559" s="307" t="str">
        <f t="shared" si="487"/>
        <v>-</v>
      </c>
      <c r="H2559" s="351">
        <f t="shared" si="488"/>
        <v>0</v>
      </c>
      <c r="I2559" s="537" t="str">
        <f t="shared" si="489"/>
        <v>-</v>
      </c>
      <c r="J2559" s="538">
        <f t="shared" si="490"/>
        <v>0</v>
      </c>
      <c r="K2559" s="539" t="s">
        <v>2299</v>
      </c>
      <c r="L2559" s="20"/>
    </row>
    <row r="2560" spans="1:13">
      <c r="A2560" s="14" t="s">
        <v>31</v>
      </c>
      <c r="D2560" s="18">
        <v>4</v>
      </c>
      <c r="E2560" s="26" t="str">
        <f t="shared" si="486"/>
        <v>-</v>
      </c>
      <c r="F2560" s="311"/>
      <c r="G2560" s="307" t="str">
        <f t="shared" si="487"/>
        <v>-</v>
      </c>
      <c r="H2560" s="351">
        <f t="shared" si="488"/>
        <v>0</v>
      </c>
      <c r="I2560" s="537" t="str">
        <f t="shared" si="489"/>
        <v>-</v>
      </c>
      <c r="J2560" s="538">
        <f t="shared" si="490"/>
        <v>0</v>
      </c>
      <c r="K2560" s="539" t="s">
        <v>2299</v>
      </c>
      <c r="L2560" s="20"/>
    </row>
    <row r="2561" spans="1:12">
      <c r="A2561" s="14" t="s">
        <v>31</v>
      </c>
      <c r="D2561" s="18">
        <v>5</v>
      </c>
      <c r="E2561" s="26" t="str">
        <f t="shared" si="486"/>
        <v>-</v>
      </c>
      <c r="F2561" s="311"/>
      <c r="G2561" s="307" t="str">
        <f t="shared" si="487"/>
        <v>-</v>
      </c>
      <c r="H2561" s="351">
        <f t="shared" si="488"/>
        <v>0</v>
      </c>
      <c r="I2561" s="537" t="str">
        <f t="shared" si="489"/>
        <v>-</v>
      </c>
      <c r="J2561" s="538">
        <f t="shared" si="490"/>
        <v>0</v>
      </c>
      <c r="K2561" s="539" t="s">
        <v>2299</v>
      </c>
      <c r="L2561" s="20"/>
    </row>
    <row r="2562" spans="1:12">
      <c r="A2562" s="14" t="s">
        <v>31</v>
      </c>
      <c r="D2562" s="18">
        <v>6</v>
      </c>
      <c r="E2562" s="26" t="str">
        <f t="shared" si="486"/>
        <v>-</v>
      </c>
      <c r="F2562" s="311"/>
      <c r="G2562" s="307" t="str">
        <f t="shared" si="487"/>
        <v>-</v>
      </c>
      <c r="H2562" s="351">
        <f t="shared" si="488"/>
        <v>0</v>
      </c>
      <c r="I2562" s="537" t="str">
        <f t="shared" si="489"/>
        <v>-</v>
      </c>
      <c r="J2562" s="538">
        <f t="shared" si="490"/>
        <v>0</v>
      </c>
      <c r="K2562" s="539" t="s">
        <v>2299</v>
      </c>
      <c r="L2562" s="20"/>
    </row>
    <row r="2563" spans="1:12">
      <c r="A2563" s="14" t="s">
        <v>31</v>
      </c>
      <c r="D2563" s="18">
        <v>7</v>
      </c>
      <c r="E2563" s="26" t="str">
        <f t="shared" si="486"/>
        <v>-</v>
      </c>
      <c r="F2563" s="311"/>
      <c r="G2563" s="307" t="str">
        <f t="shared" si="487"/>
        <v>-</v>
      </c>
      <c r="H2563" s="351">
        <f t="shared" si="488"/>
        <v>0</v>
      </c>
      <c r="I2563" s="537" t="str">
        <f t="shared" si="489"/>
        <v>-</v>
      </c>
      <c r="J2563" s="538">
        <f t="shared" si="490"/>
        <v>0</v>
      </c>
      <c r="K2563" s="539" t="s">
        <v>2299</v>
      </c>
      <c r="L2563" s="20"/>
    </row>
    <row r="2564" spans="1:12">
      <c r="A2564" s="14" t="s">
        <v>31</v>
      </c>
      <c r="D2564" s="18">
        <v>8</v>
      </c>
      <c r="E2564" s="26" t="str">
        <f t="shared" si="486"/>
        <v>-</v>
      </c>
      <c r="F2564" s="311"/>
      <c r="G2564" s="307" t="str">
        <f t="shared" si="487"/>
        <v>-</v>
      </c>
      <c r="H2564" s="351">
        <f t="shared" si="488"/>
        <v>0</v>
      </c>
      <c r="I2564" s="537" t="str">
        <f t="shared" si="489"/>
        <v>-</v>
      </c>
      <c r="J2564" s="538">
        <f t="shared" si="490"/>
        <v>0</v>
      </c>
      <c r="K2564" s="539" t="s">
        <v>2299</v>
      </c>
      <c r="L2564" s="20"/>
    </row>
    <row r="2565" spans="1:12">
      <c r="A2565" s="14" t="s">
        <v>31</v>
      </c>
      <c r="D2565" s="18">
        <v>9</v>
      </c>
      <c r="E2565" s="26" t="str">
        <f t="shared" si="486"/>
        <v>-</v>
      </c>
      <c r="F2565" s="311"/>
      <c r="G2565" s="307" t="str">
        <f t="shared" si="487"/>
        <v>-</v>
      </c>
      <c r="H2565" s="351">
        <f t="shared" si="488"/>
        <v>0</v>
      </c>
      <c r="I2565" s="537" t="str">
        <f t="shared" si="489"/>
        <v>-</v>
      </c>
      <c r="J2565" s="538">
        <f t="shared" si="490"/>
        <v>0</v>
      </c>
      <c r="K2565" s="539" t="s">
        <v>2299</v>
      </c>
      <c r="L2565" s="20"/>
    </row>
    <row r="2566" spans="1:12">
      <c r="A2566" s="14" t="s">
        <v>31</v>
      </c>
      <c r="D2566" s="18">
        <v>10</v>
      </c>
      <c r="E2566" s="26" t="str">
        <f t="shared" si="486"/>
        <v>-</v>
      </c>
      <c r="F2566" s="311"/>
      <c r="G2566" s="307" t="str">
        <f t="shared" si="487"/>
        <v>-</v>
      </c>
      <c r="H2566" s="351">
        <f t="shared" si="488"/>
        <v>0</v>
      </c>
      <c r="I2566" s="537" t="str">
        <f t="shared" si="489"/>
        <v>-</v>
      </c>
      <c r="J2566" s="538">
        <f t="shared" si="490"/>
        <v>0</v>
      </c>
      <c r="K2566" s="539" t="s">
        <v>2299</v>
      </c>
      <c r="L2566" s="20"/>
    </row>
    <row r="2567" spans="1:12">
      <c r="A2567" s="14" t="s">
        <v>31</v>
      </c>
      <c r="D2567" s="18">
        <v>11</v>
      </c>
      <c r="E2567" s="26" t="str">
        <f t="shared" si="486"/>
        <v>-</v>
      </c>
      <c r="F2567" s="311"/>
      <c r="G2567" s="307" t="str">
        <f t="shared" si="487"/>
        <v>-</v>
      </c>
      <c r="H2567" s="351">
        <f t="shared" si="488"/>
        <v>0</v>
      </c>
      <c r="I2567" s="537" t="str">
        <f t="shared" si="489"/>
        <v>-</v>
      </c>
      <c r="J2567" s="538">
        <f t="shared" si="490"/>
        <v>0</v>
      </c>
      <c r="K2567" s="539" t="s">
        <v>2299</v>
      </c>
      <c r="L2567" s="20"/>
    </row>
    <row r="2568" spans="1:12">
      <c r="A2568" s="14" t="s">
        <v>31</v>
      </c>
      <c r="D2568" s="18">
        <v>12</v>
      </c>
      <c r="E2568" s="26" t="str">
        <f t="shared" si="486"/>
        <v>-</v>
      </c>
      <c r="F2568" s="311"/>
      <c r="G2568" s="307" t="str">
        <f t="shared" si="487"/>
        <v>-</v>
      </c>
      <c r="H2568" s="352">
        <f t="shared" si="488"/>
        <v>0</v>
      </c>
      <c r="I2568" s="537" t="str">
        <f t="shared" si="489"/>
        <v>-</v>
      </c>
      <c r="J2568" s="538">
        <f t="shared" si="490"/>
        <v>0</v>
      </c>
      <c r="K2568" s="539" t="s">
        <v>2299</v>
      </c>
      <c r="L2568" s="20"/>
    </row>
    <row r="2569" spans="1:12">
      <c r="A2569" s="14" t="s">
        <v>31</v>
      </c>
      <c r="D2569" s="18">
        <v>13</v>
      </c>
      <c r="E2569" s="26" t="str">
        <f t="shared" si="486"/>
        <v>-</v>
      </c>
      <c r="F2569" s="311"/>
      <c r="G2569" s="307" t="str">
        <f t="shared" si="487"/>
        <v>-</v>
      </c>
      <c r="H2569" s="352">
        <f t="shared" si="488"/>
        <v>0</v>
      </c>
      <c r="I2569" s="537" t="str">
        <f t="shared" si="489"/>
        <v>-</v>
      </c>
      <c r="J2569" s="538">
        <f t="shared" si="490"/>
        <v>0</v>
      </c>
      <c r="K2569" s="539" t="s">
        <v>2299</v>
      </c>
      <c r="L2569" s="20"/>
    </row>
    <row r="2570" spans="1:12">
      <c r="A2570" s="14" t="s">
        <v>31</v>
      </c>
      <c r="D2570" s="18">
        <v>14</v>
      </c>
      <c r="E2570" s="26" t="str">
        <f t="shared" si="486"/>
        <v>-</v>
      </c>
      <c r="F2570" s="311"/>
      <c r="G2570" s="307" t="str">
        <f t="shared" si="487"/>
        <v>-</v>
      </c>
      <c r="H2570" s="352">
        <f t="shared" si="488"/>
        <v>0</v>
      </c>
      <c r="I2570" s="537" t="str">
        <f t="shared" si="489"/>
        <v>-</v>
      </c>
      <c r="J2570" s="538">
        <f t="shared" si="490"/>
        <v>0</v>
      </c>
      <c r="K2570" s="539" t="s">
        <v>2299</v>
      </c>
      <c r="L2570" s="20"/>
    </row>
    <row r="2571" spans="1:12">
      <c r="A2571" s="14" t="s">
        <v>31</v>
      </c>
      <c r="D2571" s="18">
        <v>15</v>
      </c>
      <c r="E2571" s="26" t="str">
        <f t="shared" si="486"/>
        <v>-</v>
      </c>
      <c r="F2571" s="311"/>
      <c r="G2571" s="307" t="str">
        <f t="shared" si="487"/>
        <v>-</v>
      </c>
      <c r="H2571" s="352">
        <f t="shared" si="488"/>
        <v>0</v>
      </c>
      <c r="I2571" s="537" t="str">
        <f t="shared" si="489"/>
        <v>-</v>
      </c>
      <c r="J2571" s="538">
        <f t="shared" si="490"/>
        <v>0</v>
      </c>
      <c r="K2571" s="539" t="s">
        <v>2299</v>
      </c>
      <c r="L2571" s="20"/>
    </row>
    <row r="2572" spans="1:12">
      <c r="A2572" s="14" t="s">
        <v>31</v>
      </c>
      <c r="D2572" s="18">
        <v>16</v>
      </c>
      <c r="E2572" s="26" t="str">
        <f t="shared" si="486"/>
        <v>-</v>
      </c>
      <c r="F2572" s="311"/>
      <c r="G2572" s="307" t="str">
        <f t="shared" si="487"/>
        <v>-</v>
      </c>
      <c r="H2572" s="352">
        <f t="shared" si="488"/>
        <v>0</v>
      </c>
      <c r="I2572" s="537" t="str">
        <f t="shared" si="489"/>
        <v>-</v>
      </c>
      <c r="J2572" s="538">
        <f t="shared" si="490"/>
        <v>0</v>
      </c>
      <c r="K2572" s="539" t="s">
        <v>2299</v>
      </c>
      <c r="L2572" s="20"/>
    </row>
    <row r="2573" spans="1:12">
      <c r="A2573" s="14" t="s">
        <v>31</v>
      </c>
      <c r="D2573" s="18">
        <v>17</v>
      </c>
      <c r="E2573" s="26" t="str">
        <f t="shared" si="486"/>
        <v>-</v>
      </c>
      <c r="F2573" s="311"/>
      <c r="G2573" s="307" t="str">
        <f t="shared" si="487"/>
        <v>-</v>
      </c>
      <c r="H2573" s="352">
        <f t="shared" si="488"/>
        <v>0</v>
      </c>
      <c r="I2573" s="537" t="str">
        <f t="shared" si="489"/>
        <v>-</v>
      </c>
      <c r="J2573" s="538">
        <f t="shared" si="490"/>
        <v>0</v>
      </c>
      <c r="K2573" s="539" t="s">
        <v>2299</v>
      </c>
      <c r="L2573" s="20"/>
    </row>
    <row r="2574" spans="1:12">
      <c r="A2574" s="14" t="s">
        <v>31</v>
      </c>
      <c r="D2574" s="18">
        <v>18</v>
      </c>
      <c r="E2574" s="26" t="str">
        <f t="shared" si="486"/>
        <v>-</v>
      </c>
      <c r="F2574" s="311"/>
      <c r="G2574" s="307" t="str">
        <f t="shared" si="487"/>
        <v>-</v>
      </c>
      <c r="H2574" s="352">
        <f t="shared" si="488"/>
        <v>0</v>
      </c>
      <c r="I2574" s="537" t="str">
        <f t="shared" si="489"/>
        <v>-</v>
      </c>
      <c r="J2574" s="538">
        <f t="shared" si="490"/>
        <v>0</v>
      </c>
      <c r="K2574" s="539" t="s">
        <v>2299</v>
      </c>
      <c r="L2574" s="20"/>
    </row>
    <row r="2575" spans="1:12">
      <c r="A2575" s="14" t="s">
        <v>31</v>
      </c>
      <c r="D2575" s="18">
        <v>19</v>
      </c>
      <c r="E2575" s="26" t="str">
        <f t="shared" si="486"/>
        <v>-</v>
      </c>
      <c r="F2575" s="311"/>
      <c r="G2575" s="307" t="str">
        <f t="shared" si="487"/>
        <v>-</v>
      </c>
      <c r="H2575" s="352">
        <f t="shared" si="488"/>
        <v>0</v>
      </c>
      <c r="I2575" s="537" t="str">
        <f t="shared" si="489"/>
        <v>-</v>
      </c>
      <c r="J2575" s="538">
        <f t="shared" si="490"/>
        <v>0</v>
      </c>
      <c r="K2575" s="539" t="s">
        <v>2299</v>
      </c>
      <c r="L2575" s="20"/>
    </row>
    <row r="2576" spans="1:12">
      <c r="A2576" s="14" t="s">
        <v>31</v>
      </c>
      <c r="D2576" s="18">
        <v>20</v>
      </c>
      <c r="E2576" s="26" t="str">
        <f t="shared" si="486"/>
        <v>-</v>
      </c>
      <c r="F2576" s="311"/>
      <c r="G2576" s="307" t="str">
        <f t="shared" si="487"/>
        <v>-</v>
      </c>
      <c r="H2576" s="352">
        <f t="shared" si="488"/>
        <v>0</v>
      </c>
      <c r="I2576" s="537" t="str">
        <f t="shared" si="489"/>
        <v>-</v>
      </c>
      <c r="J2576" s="541">
        <f t="shared" si="490"/>
        <v>0</v>
      </c>
      <c r="K2576" s="539" t="s">
        <v>2299</v>
      </c>
      <c r="L2576" s="20"/>
    </row>
    <row r="2577" spans="1:19">
      <c r="A2577" s="14">
        <f>A2544+1</f>
        <v>55</v>
      </c>
      <c r="B2577" s="14" t="str">
        <f>"MA" &amp; TEXT(A2577,"##000")</f>
        <v>MA055</v>
      </c>
      <c r="D2577" s="18"/>
      <c r="E2577" s="591" t="s">
        <v>2302</v>
      </c>
      <c r="F2577" s="592"/>
      <c r="G2577" s="592"/>
      <c r="H2577" s="592"/>
      <c r="I2577" s="328"/>
      <c r="J2577" s="353">
        <f>SUM(J2557:J2576)</f>
        <v>27262.708000000002</v>
      </c>
      <c r="K2577" s="365" t="str">
        <f>+F2554</f>
        <v>gl</v>
      </c>
      <c r="L2577" s="20"/>
      <c r="O2577" s="27" t="s">
        <v>1525</v>
      </c>
      <c r="P2577" s="110">
        <v>5000</v>
      </c>
    </row>
    <row r="2578" spans="1:19">
      <c r="D2578" s="18"/>
      <c r="E2578" s="593" t="s">
        <v>100</v>
      </c>
      <c r="F2578" s="594"/>
      <c r="G2578" s="594"/>
      <c r="H2578" s="594"/>
      <c r="I2578" s="594"/>
      <c r="J2578" s="595"/>
      <c r="K2578" s="347"/>
      <c r="L2578" s="20"/>
      <c r="O2578" s="27" t="s">
        <v>1524</v>
      </c>
      <c r="P2578" s="110">
        <v>0</v>
      </c>
    </row>
    <row r="2579" spans="1:19">
      <c r="A2579" s="14" t="s">
        <v>84</v>
      </c>
      <c r="D2579" s="18">
        <v>1</v>
      </c>
      <c r="E2579" s="26" t="str">
        <f>VLOOKUP($A2579,MATMO,2,FALSE)</f>
        <v>Oficial</v>
      </c>
      <c r="F2579" s="311">
        <v>70</v>
      </c>
      <c r="G2579" s="307" t="str">
        <f>VLOOKUP($A2579,MATMO,3,FALSE)</f>
        <v>hs</v>
      </c>
      <c r="H2579" s="110">
        <f>VLOOKUP($A2579,MATMO,4,FALSE)*$Q$7</f>
        <v>55.38</v>
      </c>
      <c r="I2579" s="354" t="str">
        <f t="shared" ref="I2579:I2583" si="491">+G2579</f>
        <v>hs</v>
      </c>
      <c r="J2579" s="350">
        <f t="shared" ref="J2579:J2583" si="492">+H2579*F2579</f>
        <v>3876.6000000000004</v>
      </c>
      <c r="K2579" s="360" t="s">
        <v>2299</v>
      </c>
      <c r="L2579" s="20"/>
      <c r="M2579" s="14" t="s">
        <v>2006</v>
      </c>
      <c r="O2579" s="27" t="s">
        <v>1526</v>
      </c>
      <c r="P2579" s="110">
        <v>0</v>
      </c>
    </row>
    <row r="2580" spans="1:19">
      <c r="A2580" s="14" t="s">
        <v>85</v>
      </c>
      <c r="D2580" s="18">
        <v>2</v>
      </c>
      <c r="E2580" s="26" t="str">
        <f>VLOOKUP($A2580,MATMO,2,FALSE)</f>
        <v>Ayudante</v>
      </c>
      <c r="F2580" s="311">
        <v>21</v>
      </c>
      <c r="G2580" s="307" t="str">
        <f>VLOOKUP($A2580,MATMO,3,FALSE)</f>
        <v>hs</v>
      </c>
      <c r="H2580" s="110">
        <f>VLOOKUP($A2580,MATMO,4,FALSE)*$Q$7</f>
        <v>46.87</v>
      </c>
      <c r="I2580" s="354" t="str">
        <f t="shared" si="491"/>
        <v>hs</v>
      </c>
      <c r="J2580" s="350">
        <f t="shared" si="492"/>
        <v>984.27</v>
      </c>
      <c r="K2580" s="360" t="s">
        <v>2299</v>
      </c>
      <c r="L2580" s="20"/>
      <c r="O2580" s="27" t="s">
        <v>1527</v>
      </c>
      <c r="P2580" s="110">
        <v>0</v>
      </c>
    </row>
    <row r="2581" spans="1:19">
      <c r="A2581" s="14" t="s">
        <v>2311</v>
      </c>
      <c r="D2581" s="18">
        <v>3</v>
      </c>
      <c r="E2581" s="26" t="str">
        <f>VLOOKUP($A2581,MATMO,2,FALSE)</f>
        <v>Cargas Sociales Oficial</v>
      </c>
      <c r="F2581" s="311">
        <f>+F2579</f>
        <v>70</v>
      </c>
      <c r="G2581" s="307" t="str">
        <f>VLOOKUP($A2581,MATMO,3,FALSE)</f>
        <v>hs</v>
      </c>
      <c r="H2581" s="110">
        <f>VLOOKUP($A2581,MATMO,4,FALSE)*$Q$7</f>
        <v>52.742782499999997</v>
      </c>
      <c r="I2581" s="354" t="str">
        <f t="shared" si="491"/>
        <v>hs</v>
      </c>
      <c r="J2581" s="350">
        <f t="shared" si="492"/>
        <v>3691.9947749999997</v>
      </c>
      <c r="K2581" s="360" t="s">
        <v>2299</v>
      </c>
      <c r="L2581" s="20"/>
      <c r="O2581" s="27"/>
      <c r="P2581" s="110">
        <v>0</v>
      </c>
    </row>
    <row r="2582" spans="1:19">
      <c r="A2582" s="14" t="s">
        <v>2312</v>
      </c>
      <c r="D2582" s="18">
        <v>4</v>
      </c>
      <c r="E2582" s="26" t="str">
        <f>VLOOKUP($A2582,MATMO,2,FALSE)</f>
        <v>Cargas Sociales Ayudante</v>
      </c>
      <c r="F2582" s="311">
        <f>+F2580</f>
        <v>21</v>
      </c>
      <c r="G2582" s="307" t="str">
        <f>VLOOKUP($A2582,MATMO,3,FALSE)</f>
        <v>hs</v>
      </c>
      <c r="H2582" s="110">
        <f>VLOOKUP($A2582,MATMO,4,FALSE)*$Q$7</f>
        <v>45.108248750000001</v>
      </c>
      <c r="I2582" s="354" t="str">
        <f t="shared" si="491"/>
        <v>hs</v>
      </c>
      <c r="J2582" s="350">
        <f t="shared" si="492"/>
        <v>947.27322375000006</v>
      </c>
      <c r="K2582" s="360" t="s">
        <v>2299</v>
      </c>
      <c r="L2582" s="20"/>
      <c r="O2582" s="27"/>
      <c r="P2582" s="110">
        <v>0</v>
      </c>
    </row>
    <row r="2583" spans="1:19" ht="16.5" thickBot="1">
      <c r="A2583" s="14" t="s">
        <v>83</v>
      </c>
      <c r="D2583" s="18">
        <v>5</v>
      </c>
      <c r="E2583" s="26" t="str">
        <f>VLOOKUP($A2583,MATMO,2,FALSE)</f>
        <v>-</v>
      </c>
      <c r="F2583" s="311"/>
      <c r="G2583" s="307" t="str">
        <f>VLOOKUP($A2583,MATMO,3,FALSE)</f>
        <v>-</v>
      </c>
      <c r="H2583" s="110">
        <f>VLOOKUP($A2583,MATMO,4,FALSE)*$Q$7</f>
        <v>0</v>
      </c>
      <c r="I2583" s="537" t="str">
        <f t="shared" si="491"/>
        <v>-</v>
      </c>
      <c r="J2583" s="538">
        <f t="shared" si="492"/>
        <v>0</v>
      </c>
      <c r="K2583" s="539" t="s">
        <v>2299</v>
      </c>
      <c r="L2583" s="20"/>
      <c r="O2583" s="27"/>
      <c r="P2583" s="110">
        <v>0</v>
      </c>
      <c r="R2583" s="29" t="s">
        <v>2307</v>
      </c>
    </row>
    <row r="2584" spans="1:19" ht="16.5" thickBot="1">
      <c r="A2584" s="14">
        <f>A2544+1</f>
        <v>55</v>
      </c>
      <c r="B2584" s="14" t="str">
        <f>"MO" &amp; TEXT(A2584,"##000")</f>
        <v>MO055</v>
      </c>
      <c r="D2584" s="18"/>
      <c r="E2584" s="591" t="s">
        <v>2301</v>
      </c>
      <c r="F2584" s="592"/>
      <c r="G2584" s="592"/>
      <c r="H2584" s="592"/>
      <c r="I2584" s="328"/>
      <c r="J2584" s="362">
        <f>SUM(J2579:J2583)</f>
        <v>9500.1379987500004</v>
      </c>
      <c r="K2584" s="365" t="str">
        <f>+G2579</f>
        <v>hs</v>
      </c>
      <c r="L2584" s="20"/>
      <c r="N2584" s="111">
        <f>+P2584+R2584</f>
        <v>9500</v>
      </c>
      <c r="O2584" s="27"/>
      <c r="P2584" s="27">
        <f>SUM(P2577:P2583)</f>
        <v>5000</v>
      </c>
      <c r="Q2584" s="26">
        <v>0.9</v>
      </c>
      <c r="R2584" s="287">
        <f>+Q2584*P2584</f>
        <v>4500</v>
      </c>
      <c r="S2584" s="288"/>
    </row>
    <row r="2585" spans="1:19">
      <c r="D2585" s="18"/>
      <c r="E2585" s="593" t="s">
        <v>101</v>
      </c>
      <c r="F2585" s="594"/>
      <c r="G2585" s="594"/>
      <c r="H2585" s="594"/>
      <c r="I2585" s="594"/>
      <c r="J2585" s="595"/>
      <c r="K2585" s="347"/>
      <c r="L2585" s="20"/>
      <c r="P2585" s="14" t="s">
        <v>2308</v>
      </c>
    </row>
    <row r="2586" spans="1:19">
      <c r="A2586" s="14" t="s">
        <v>119</v>
      </c>
      <c r="D2586" s="18">
        <v>1</v>
      </c>
      <c r="E2586" s="26" t="str">
        <f>VLOOKUP($A2586,MATMO,2,FALSE)</f>
        <v>Herramientas de Mano</v>
      </c>
      <c r="F2586" s="311">
        <v>1</v>
      </c>
      <c r="G2586" s="307" t="str">
        <f>VLOOKUP($A2586,MATMO,3,FALSE)</f>
        <v>gl</v>
      </c>
      <c r="H2586" s="110">
        <f>+(J2577+J2584)*$Q$5</f>
        <v>1470.5138399500001</v>
      </c>
      <c r="I2586" s="345" t="str">
        <f>+G2586</f>
        <v>gl</v>
      </c>
      <c r="J2586" s="350">
        <f t="shared" ref="J2586:J2590" si="493">+H2586*F2586</f>
        <v>1470.5138399500001</v>
      </c>
      <c r="K2586" s="360" t="s">
        <v>2299</v>
      </c>
      <c r="L2586" s="20"/>
      <c r="M2586" s="14" t="s">
        <v>2004</v>
      </c>
    </row>
    <row r="2587" spans="1:19">
      <c r="A2587" s="14" t="s">
        <v>118</v>
      </c>
      <c r="D2587" s="18">
        <v>2</v>
      </c>
      <c r="E2587" s="26" t="str">
        <f>VLOOKUP($A2587,MATMO,2,FALSE)</f>
        <v>-</v>
      </c>
      <c r="F2587" s="311"/>
      <c r="G2587" s="307" t="str">
        <f>VLOOKUP($A2587,MATMO,3,FALSE)</f>
        <v>-</v>
      </c>
      <c r="H2587" s="110">
        <f>VLOOKUP($A2587,MATMO,4,FALSE)*$Q$6</f>
        <v>0</v>
      </c>
      <c r="I2587" s="543" t="str">
        <f t="shared" ref="I2587:I2590" si="494">+G2587</f>
        <v>-</v>
      </c>
      <c r="J2587" s="538">
        <f t="shared" si="493"/>
        <v>0</v>
      </c>
      <c r="K2587" s="539" t="s">
        <v>2299</v>
      </c>
      <c r="L2587" s="20"/>
    </row>
    <row r="2588" spans="1:19">
      <c r="A2588" s="14" t="s">
        <v>118</v>
      </c>
      <c r="D2588" s="18">
        <v>3</v>
      </c>
      <c r="E2588" s="26" t="str">
        <f>VLOOKUP($A2588,MATMO,2,FALSE)</f>
        <v>-</v>
      </c>
      <c r="F2588" s="311"/>
      <c r="G2588" s="307" t="str">
        <f>VLOOKUP($A2588,MATMO,3,FALSE)</f>
        <v>-</v>
      </c>
      <c r="H2588" s="110">
        <f>VLOOKUP($A2588,MATMO,4,FALSE)*$Q$6</f>
        <v>0</v>
      </c>
      <c r="I2588" s="543" t="str">
        <f t="shared" si="494"/>
        <v>-</v>
      </c>
      <c r="J2588" s="538">
        <f t="shared" si="493"/>
        <v>0</v>
      </c>
      <c r="K2588" s="539" t="s">
        <v>2299</v>
      </c>
      <c r="L2588" s="20"/>
    </row>
    <row r="2589" spans="1:19">
      <c r="A2589" s="14" t="s">
        <v>118</v>
      </c>
      <c r="D2589" s="18">
        <v>4</v>
      </c>
      <c r="E2589" s="26" t="str">
        <f>VLOOKUP($A2589,MATMO,2,FALSE)</f>
        <v>-</v>
      </c>
      <c r="F2589" s="311"/>
      <c r="G2589" s="307" t="str">
        <f>VLOOKUP($A2589,MATMO,3,FALSE)</f>
        <v>-</v>
      </c>
      <c r="H2589" s="110">
        <f>VLOOKUP($A2589,MATMO,4,FALSE)*$Q$6</f>
        <v>0</v>
      </c>
      <c r="I2589" s="543" t="str">
        <f t="shared" si="494"/>
        <v>-</v>
      </c>
      <c r="J2589" s="538">
        <f t="shared" si="493"/>
        <v>0</v>
      </c>
      <c r="K2589" s="539" t="s">
        <v>2299</v>
      </c>
      <c r="L2589" s="20"/>
    </row>
    <row r="2590" spans="1:19">
      <c r="A2590" s="14" t="s">
        <v>118</v>
      </c>
      <c r="D2590" s="18">
        <v>5</v>
      </c>
      <c r="E2590" s="26" t="str">
        <f>VLOOKUP($A2590,MATMO,2,FALSE)</f>
        <v>-</v>
      </c>
      <c r="F2590" s="311"/>
      <c r="G2590" s="307" t="str">
        <f>VLOOKUP($A2590,MATMO,3,FALSE)</f>
        <v>-</v>
      </c>
      <c r="H2590" s="110">
        <f>VLOOKUP($A2590,MATMO,4,FALSE)*$Q$6</f>
        <v>0</v>
      </c>
      <c r="I2590" s="543" t="str">
        <f t="shared" si="494"/>
        <v>-</v>
      </c>
      <c r="J2590" s="538">
        <f t="shared" si="493"/>
        <v>0</v>
      </c>
      <c r="K2590" s="539" t="s">
        <v>2299</v>
      </c>
      <c r="L2590" s="20"/>
    </row>
    <row r="2591" spans="1:19">
      <c r="A2591" s="14">
        <f>A2544+1</f>
        <v>55</v>
      </c>
      <c r="B2591" s="14" t="str">
        <f>"E" &amp; TEXT(A2591,"##000")</f>
        <v>E055</v>
      </c>
      <c r="D2591" s="18"/>
      <c r="E2591" s="591" t="s">
        <v>2300</v>
      </c>
      <c r="F2591" s="592"/>
      <c r="G2591" s="592"/>
      <c r="H2591" s="592"/>
      <c r="I2591" s="328"/>
      <c r="J2591" s="362">
        <f>SUM(J2586:J2590)</f>
        <v>1470.5138399500001</v>
      </c>
      <c r="K2591" s="365" t="s">
        <v>116</v>
      </c>
      <c r="L2591" s="20"/>
    </row>
    <row r="2592" spans="1:19">
      <c r="D2592" s="18"/>
      <c r="E2592" s="596"/>
      <c r="F2592" s="597"/>
      <c r="G2592" s="597"/>
      <c r="H2592" s="597"/>
      <c r="I2592" s="597"/>
      <c r="J2592" s="598"/>
      <c r="K2592" s="348"/>
      <c r="L2592" s="20"/>
    </row>
    <row r="2593" spans="1:13">
      <c r="D2593" s="18"/>
      <c r="E2593" s="591" t="s">
        <v>2306</v>
      </c>
      <c r="F2593" s="592"/>
      <c r="G2593" s="592"/>
      <c r="H2593" s="592"/>
      <c r="I2593" s="328"/>
      <c r="J2593" s="308">
        <f>+J2591+J2584+J2577</f>
        <v>38233.359838700002</v>
      </c>
      <c r="K2593" s="365" t="str">
        <f>+F2554</f>
        <v>gl</v>
      </c>
      <c r="L2593" s="20"/>
    </row>
    <row r="2594" spans="1:13">
      <c r="D2594" s="18"/>
      <c r="E2594" s="591" t="s">
        <v>2305</v>
      </c>
      <c r="F2594" s="592"/>
      <c r="G2594" s="592"/>
      <c r="H2594" s="592"/>
      <c r="I2594" s="406">
        <f>+$Q$9</f>
        <v>1.6902999999999999</v>
      </c>
      <c r="J2594" s="308">
        <f>+$Q$9*J2593</f>
        <v>64625.848135354609</v>
      </c>
      <c r="K2594" s="365" t="str">
        <f>+F2554</f>
        <v>gl</v>
      </c>
      <c r="L2594" s="20"/>
    </row>
    <row r="2595" spans="1:13">
      <c r="A2595" s="14">
        <f>A2548+1</f>
        <v>55</v>
      </c>
      <c r="B2595" s="14" t="str">
        <f>"TR" &amp; TEXT(A2595,"##000")</f>
        <v>TR055</v>
      </c>
      <c r="C2595" s="14">
        <f>+C2548+1</f>
        <v>55</v>
      </c>
      <c r="D2595" s="18"/>
      <c r="E2595" s="591" t="s">
        <v>2304</v>
      </c>
      <c r="F2595" s="592"/>
      <c r="G2595" s="592"/>
      <c r="H2595" s="592"/>
      <c r="I2595" s="328"/>
      <c r="J2595" s="308">
        <f>+J2594</f>
        <v>64625.848135354609</v>
      </c>
      <c r="K2595" s="365" t="str">
        <f>+F2554</f>
        <v>gl</v>
      </c>
      <c r="L2595" s="20"/>
    </row>
    <row r="2596" spans="1:13" ht="16.5" thickBot="1">
      <c r="D2596" s="21"/>
      <c r="E2596" s="30"/>
      <c r="F2596" s="30"/>
      <c r="G2596" s="30"/>
      <c r="H2596" s="30"/>
      <c r="I2596" s="30"/>
      <c r="J2596" s="30"/>
      <c r="K2596" s="349"/>
      <c r="L2596" s="22"/>
    </row>
    <row r="2597" spans="1:13" ht="16.5" thickTop="1">
      <c r="D2597" s="15"/>
      <c r="E2597" s="16"/>
      <c r="F2597" s="16"/>
      <c r="G2597" s="16"/>
      <c r="H2597" s="16"/>
      <c r="I2597" s="16"/>
      <c r="J2597" s="16"/>
      <c r="K2597" s="16"/>
      <c r="L2597" s="17"/>
    </row>
    <row r="2598" spans="1:13">
      <c r="A2598" s="14" t="s">
        <v>1892</v>
      </c>
      <c r="D2598" s="18"/>
      <c r="E2598" s="23" t="s">
        <v>95</v>
      </c>
      <c r="F2598" s="364" t="str">
        <f>VLOOKUP($A2598,DATRUB,3,FALSE)</f>
        <v>RUBRO XIII:</v>
      </c>
      <c r="G2598" s="599" t="str">
        <f>VLOOKUP($A2598,DATRUB,4,FALSE)</f>
        <v>INSTALACIÓN SANITARIA</v>
      </c>
      <c r="H2598" s="599"/>
      <c r="I2598" s="599"/>
      <c r="J2598" s="599"/>
      <c r="K2598" s="599"/>
      <c r="L2598" s="20"/>
    </row>
    <row r="2599" spans="1:13" ht="35.1" customHeight="1">
      <c r="A2599" s="14" t="s">
        <v>2040</v>
      </c>
      <c r="D2599" s="18"/>
      <c r="E2599" s="23" t="s">
        <v>96</v>
      </c>
      <c r="F2599" s="399">
        <f>VLOOKUP($A2599,DATRUB,3,FALSE)</f>
        <v>13.4</v>
      </c>
      <c r="G2599" s="599" t="str">
        <f>VLOOKUP($A2599,DATRUB,4,FALSE)</f>
        <v>Conexión de Agua F 19 mm</v>
      </c>
      <c r="H2599" s="599"/>
      <c r="I2599" s="599"/>
      <c r="J2599" s="599"/>
      <c r="K2599" s="599"/>
      <c r="L2599" s="20"/>
    </row>
    <row r="2600" spans="1:13" ht="35.1" customHeight="1">
      <c r="A2600" s="14" t="s">
        <v>2040</v>
      </c>
      <c r="D2600" s="18"/>
      <c r="E2600" s="23" t="s">
        <v>97</v>
      </c>
      <c r="F2600" s="399">
        <f>VLOOKUP($A2600,DATRUB,3,FALSE)</f>
        <v>13.4</v>
      </c>
      <c r="G2600" s="599" t="str">
        <f>VLOOKUP($A2600,DATRUB,4,FALSE)</f>
        <v>Conexión de Agua F 19 mm</v>
      </c>
      <c r="H2600" s="599"/>
      <c r="I2600" s="599"/>
      <c r="J2600" s="599"/>
      <c r="K2600" s="599"/>
      <c r="L2600" s="20"/>
    </row>
    <row r="2601" spans="1:13">
      <c r="D2601" s="18"/>
      <c r="E2601" s="23" t="s">
        <v>98</v>
      </c>
      <c r="F2601" s="364" t="str">
        <f>VLOOKUP($A2600,DATRUB,5,FALSE)</f>
        <v>gl</v>
      </c>
      <c r="G2601" s="600"/>
      <c r="H2601" s="600"/>
      <c r="I2601" s="600"/>
      <c r="J2601" s="600"/>
      <c r="K2601" s="600"/>
      <c r="L2601" s="20"/>
    </row>
    <row r="2602" spans="1:13">
      <c r="D2602" s="18"/>
      <c r="E2602" s="364" t="s">
        <v>1158</v>
      </c>
      <c r="F2602" s="363" t="s">
        <v>1250</v>
      </c>
      <c r="G2602" s="364" t="s">
        <v>24</v>
      </c>
      <c r="H2602" s="364" t="s">
        <v>25</v>
      </c>
      <c r="I2602" s="364" t="s">
        <v>24</v>
      </c>
      <c r="J2602" s="364" t="s">
        <v>2298</v>
      </c>
      <c r="K2602" s="364" t="s">
        <v>24</v>
      </c>
      <c r="L2602" s="20"/>
    </row>
    <row r="2603" spans="1:13">
      <c r="D2603" s="18"/>
      <c r="E2603" s="593" t="s">
        <v>99</v>
      </c>
      <c r="F2603" s="594"/>
      <c r="G2603" s="594"/>
      <c r="H2603" s="594"/>
      <c r="I2603" s="594"/>
      <c r="J2603" s="594"/>
      <c r="K2603" s="595"/>
      <c r="L2603" s="20"/>
    </row>
    <row r="2604" spans="1:13">
      <c r="A2604" s="14" t="s">
        <v>2484</v>
      </c>
      <c r="D2604" s="18">
        <v>1</v>
      </c>
      <c r="E2604" s="409" t="str">
        <f t="shared" ref="E2604:E2623" si="495">VLOOKUP($A2604,MATMO,2,FALSE)</f>
        <v>Materiales Conexión de Agua F 19 mm</v>
      </c>
      <c r="F2604" s="420">
        <v>1</v>
      </c>
      <c r="G2604" s="421" t="str">
        <f t="shared" ref="G2604:G2623" si="496">VLOOKUP($A2604,MATMO,3,FALSE)</f>
        <v>gl</v>
      </c>
      <c r="H2604" s="410">
        <f t="shared" ref="H2604:H2623" si="497">VLOOKUP($A2604,MATMO,4,FALSE)*$Q$6</f>
        <v>1291.0700000000002</v>
      </c>
      <c r="I2604" s="422" t="str">
        <f t="shared" ref="I2604:I2623" si="498">+G2604</f>
        <v>gl</v>
      </c>
      <c r="J2604" s="361">
        <f>+H2604*F2604</f>
        <v>1291.0700000000002</v>
      </c>
      <c r="K2604" s="360" t="s">
        <v>2299</v>
      </c>
      <c r="L2604" s="20"/>
      <c r="M2604" s="14" t="s">
        <v>2005</v>
      </c>
    </row>
    <row r="2605" spans="1:13">
      <c r="A2605" s="14" t="s">
        <v>31</v>
      </c>
      <c r="D2605" s="18">
        <v>2</v>
      </c>
      <c r="E2605" s="26" t="str">
        <f t="shared" si="495"/>
        <v>-</v>
      </c>
      <c r="F2605" s="311"/>
      <c r="G2605" s="307" t="str">
        <f t="shared" si="496"/>
        <v>-</v>
      </c>
      <c r="H2605" s="351">
        <f t="shared" si="497"/>
        <v>0</v>
      </c>
      <c r="I2605" s="537" t="str">
        <f t="shared" si="498"/>
        <v>-</v>
      </c>
      <c r="J2605" s="538">
        <f t="shared" ref="J2605:J2623" si="499">+H2605*F2605</f>
        <v>0</v>
      </c>
      <c r="K2605" s="539" t="s">
        <v>2299</v>
      </c>
      <c r="L2605" s="20"/>
    </row>
    <row r="2606" spans="1:13">
      <c r="A2606" s="14" t="s">
        <v>31</v>
      </c>
      <c r="D2606" s="18">
        <v>3</v>
      </c>
      <c r="E2606" s="26" t="str">
        <f t="shared" si="495"/>
        <v>-</v>
      </c>
      <c r="F2606" s="311"/>
      <c r="G2606" s="307" t="str">
        <f t="shared" si="496"/>
        <v>-</v>
      </c>
      <c r="H2606" s="351">
        <f t="shared" si="497"/>
        <v>0</v>
      </c>
      <c r="I2606" s="537" t="str">
        <f t="shared" si="498"/>
        <v>-</v>
      </c>
      <c r="J2606" s="538">
        <f t="shared" si="499"/>
        <v>0</v>
      </c>
      <c r="K2606" s="539" t="s">
        <v>2299</v>
      </c>
      <c r="L2606" s="20"/>
    </row>
    <row r="2607" spans="1:13">
      <c r="A2607" s="14" t="s">
        <v>31</v>
      </c>
      <c r="D2607" s="18">
        <v>4</v>
      </c>
      <c r="E2607" s="26" t="str">
        <f t="shared" si="495"/>
        <v>-</v>
      </c>
      <c r="F2607" s="311"/>
      <c r="G2607" s="307" t="str">
        <f t="shared" si="496"/>
        <v>-</v>
      </c>
      <c r="H2607" s="351">
        <f t="shared" si="497"/>
        <v>0</v>
      </c>
      <c r="I2607" s="537" t="str">
        <f t="shared" si="498"/>
        <v>-</v>
      </c>
      <c r="J2607" s="538">
        <f t="shared" si="499"/>
        <v>0</v>
      </c>
      <c r="K2607" s="539" t="s">
        <v>2299</v>
      </c>
      <c r="L2607" s="20"/>
    </row>
    <row r="2608" spans="1:13">
      <c r="A2608" s="14" t="s">
        <v>31</v>
      </c>
      <c r="D2608" s="18">
        <v>5</v>
      </c>
      <c r="E2608" s="26" t="str">
        <f t="shared" si="495"/>
        <v>-</v>
      </c>
      <c r="F2608" s="311"/>
      <c r="G2608" s="307" t="str">
        <f t="shared" si="496"/>
        <v>-</v>
      </c>
      <c r="H2608" s="351">
        <f t="shared" si="497"/>
        <v>0</v>
      </c>
      <c r="I2608" s="537" t="str">
        <f t="shared" si="498"/>
        <v>-</v>
      </c>
      <c r="J2608" s="538">
        <f t="shared" si="499"/>
        <v>0</v>
      </c>
      <c r="K2608" s="539" t="s">
        <v>2299</v>
      </c>
      <c r="L2608" s="20"/>
    </row>
    <row r="2609" spans="1:16">
      <c r="A2609" s="14" t="s">
        <v>31</v>
      </c>
      <c r="D2609" s="18">
        <v>6</v>
      </c>
      <c r="E2609" s="26" t="str">
        <f t="shared" si="495"/>
        <v>-</v>
      </c>
      <c r="F2609" s="311"/>
      <c r="G2609" s="307" t="str">
        <f t="shared" si="496"/>
        <v>-</v>
      </c>
      <c r="H2609" s="351">
        <f t="shared" si="497"/>
        <v>0</v>
      </c>
      <c r="I2609" s="537" t="str">
        <f t="shared" si="498"/>
        <v>-</v>
      </c>
      <c r="J2609" s="538">
        <f t="shared" si="499"/>
        <v>0</v>
      </c>
      <c r="K2609" s="539" t="s">
        <v>2299</v>
      </c>
      <c r="L2609" s="20"/>
    </row>
    <row r="2610" spans="1:16">
      <c r="A2610" s="14" t="s">
        <v>31</v>
      </c>
      <c r="D2610" s="18">
        <v>7</v>
      </c>
      <c r="E2610" s="26" t="str">
        <f t="shared" si="495"/>
        <v>-</v>
      </c>
      <c r="F2610" s="311"/>
      <c r="G2610" s="307" t="str">
        <f t="shared" si="496"/>
        <v>-</v>
      </c>
      <c r="H2610" s="351">
        <f t="shared" si="497"/>
        <v>0</v>
      </c>
      <c r="I2610" s="537" t="str">
        <f t="shared" si="498"/>
        <v>-</v>
      </c>
      <c r="J2610" s="538">
        <f t="shared" si="499"/>
        <v>0</v>
      </c>
      <c r="K2610" s="539" t="s">
        <v>2299</v>
      </c>
      <c r="L2610" s="20"/>
    </row>
    <row r="2611" spans="1:16">
      <c r="A2611" s="14" t="s">
        <v>31</v>
      </c>
      <c r="D2611" s="18">
        <v>8</v>
      </c>
      <c r="E2611" s="26" t="str">
        <f t="shared" si="495"/>
        <v>-</v>
      </c>
      <c r="F2611" s="311"/>
      <c r="G2611" s="307" t="str">
        <f t="shared" si="496"/>
        <v>-</v>
      </c>
      <c r="H2611" s="351">
        <f t="shared" si="497"/>
        <v>0</v>
      </c>
      <c r="I2611" s="537" t="str">
        <f t="shared" si="498"/>
        <v>-</v>
      </c>
      <c r="J2611" s="538">
        <f t="shared" si="499"/>
        <v>0</v>
      </c>
      <c r="K2611" s="539" t="s">
        <v>2299</v>
      </c>
      <c r="L2611" s="20"/>
    </row>
    <row r="2612" spans="1:16">
      <c r="A2612" s="14" t="s">
        <v>31</v>
      </c>
      <c r="D2612" s="18">
        <v>9</v>
      </c>
      <c r="E2612" s="26" t="str">
        <f t="shared" si="495"/>
        <v>-</v>
      </c>
      <c r="F2612" s="311"/>
      <c r="G2612" s="307" t="str">
        <f t="shared" si="496"/>
        <v>-</v>
      </c>
      <c r="H2612" s="351">
        <f t="shared" si="497"/>
        <v>0</v>
      </c>
      <c r="I2612" s="537" t="str">
        <f t="shared" si="498"/>
        <v>-</v>
      </c>
      <c r="J2612" s="538">
        <f t="shared" si="499"/>
        <v>0</v>
      </c>
      <c r="K2612" s="539" t="s">
        <v>2299</v>
      </c>
      <c r="L2612" s="20"/>
    </row>
    <row r="2613" spans="1:16">
      <c r="A2613" s="14" t="s">
        <v>31</v>
      </c>
      <c r="D2613" s="18">
        <v>10</v>
      </c>
      <c r="E2613" s="26" t="str">
        <f t="shared" si="495"/>
        <v>-</v>
      </c>
      <c r="F2613" s="311"/>
      <c r="G2613" s="307" t="str">
        <f t="shared" si="496"/>
        <v>-</v>
      </c>
      <c r="H2613" s="351">
        <f t="shared" si="497"/>
        <v>0</v>
      </c>
      <c r="I2613" s="537" t="str">
        <f t="shared" si="498"/>
        <v>-</v>
      </c>
      <c r="J2613" s="538">
        <f t="shared" si="499"/>
        <v>0</v>
      </c>
      <c r="K2613" s="539" t="s">
        <v>2299</v>
      </c>
      <c r="L2613" s="20"/>
    </row>
    <row r="2614" spans="1:16">
      <c r="A2614" s="14" t="s">
        <v>31</v>
      </c>
      <c r="D2614" s="18">
        <v>11</v>
      </c>
      <c r="E2614" s="26" t="str">
        <f t="shared" si="495"/>
        <v>-</v>
      </c>
      <c r="F2614" s="311"/>
      <c r="G2614" s="307" t="str">
        <f t="shared" si="496"/>
        <v>-</v>
      </c>
      <c r="H2614" s="351">
        <f t="shared" si="497"/>
        <v>0</v>
      </c>
      <c r="I2614" s="537" t="str">
        <f t="shared" si="498"/>
        <v>-</v>
      </c>
      <c r="J2614" s="538">
        <f t="shared" si="499"/>
        <v>0</v>
      </c>
      <c r="K2614" s="539" t="s">
        <v>2299</v>
      </c>
      <c r="L2614" s="20"/>
    </row>
    <row r="2615" spans="1:16">
      <c r="A2615" s="14" t="s">
        <v>31</v>
      </c>
      <c r="D2615" s="18">
        <v>12</v>
      </c>
      <c r="E2615" s="26" t="str">
        <f t="shared" si="495"/>
        <v>-</v>
      </c>
      <c r="F2615" s="311"/>
      <c r="G2615" s="307" t="str">
        <f t="shared" si="496"/>
        <v>-</v>
      </c>
      <c r="H2615" s="352">
        <f t="shared" si="497"/>
        <v>0</v>
      </c>
      <c r="I2615" s="537" t="str">
        <f t="shared" si="498"/>
        <v>-</v>
      </c>
      <c r="J2615" s="538">
        <f t="shared" si="499"/>
        <v>0</v>
      </c>
      <c r="K2615" s="539" t="s">
        <v>2299</v>
      </c>
      <c r="L2615" s="20"/>
    </row>
    <row r="2616" spans="1:16">
      <c r="A2616" s="14" t="s">
        <v>31</v>
      </c>
      <c r="D2616" s="18">
        <v>13</v>
      </c>
      <c r="E2616" s="26" t="str">
        <f t="shared" si="495"/>
        <v>-</v>
      </c>
      <c r="F2616" s="311"/>
      <c r="G2616" s="307" t="str">
        <f t="shared" si="496"/>
        <v>-</v>
      </c>
      <c r="H2616" s="352">
        <f t="shared" si="497"/>
        <v>0</v>
      </c>
      <c r="I2616" s="537" t="str">
        <f t="shared" si="498"/>
        <v>-</v>
      </c>
      <c r="J2616" s="538">
        <f t="shared" si="499"/>
        <v>0</v>
      </c>
      <c r="K2616" s="539" t="s">
        <v>2299</v>
      </c>
      <c r="L2616" s="20"/>
    </row>
    <row r="2617" spans="1:16">
      <c r="A2617" s="14" t="s">
        <v>31</v>
      </c>
      <c r="D2617" s="18">
        <v>14</v>
      </c>
      <c r="E2617" s="26" t="str">
        <f t="shared" si="495"/>
        <v>-</v>
      </c>
      <c r="F2617" s="311"/>
      <c r="G2617" s="307" t="str">
        <f t="shared" si="496"/>
        <v>-</v>
      </c>
      <c r="H2617" s="352">
        <f t="shared" si="497"/>
        <v>0</v>
      </c>
      <c r="I2617" s="537" t="str">
        <f t="shared" si="498"/>
        <v>-</v>
      </c>
      <c r="J2617" s="538">
        <f t="shared" si="499"/>
        <v>0</v>
      </c>
      <c r="K2617" s="539" t="s">
        <v>2299</v>
      </c>
      <c r="L2617" s="20"/>
    </row>
    <row r="2618" spans="1:16">
      <c r="A2618" s="14" t="s">
        <v>31</v>
      </c>
      <c r="D2618" s="18">
        <v>15</v>
      </c>
      <c r="E2618" s="26" t="str">
        <f t="shared" si="495"/>
        <v>-</v>
      </c>
      <c r="F2618" s="311"/>
      <c r="G2618" s="307" t="str">
        <f t="shared" si="496"/>
        <v>-</v>
      </c>
      <c r="H2618" s="352">
        <f t="shared" si="497"/>
        <v>0</v>
      </c>
      <c r="I2618" s="537" t="str">
        <f t="shared" si="498"/>
        <v>-</v>
      </c>
      <c r="J2618" s="538">
        <f t="shared" si="499"/>
        <v>0</v>
      </c>
      <c r="K2618" s="539" t="s">
        <v>2299</v>
      </c>
      <c r="L2618" s="20"/>
    </row>
    <row r="2619" spans="1:16">
      <c r="A2619" s="14" t="s">
        <v>31</v>
      </c>
      <c r="D2619" s="18">
        <v>16</v>
      </c>
      <c r="E2619" s="26" t="str">
        <f t="shared" si="495"/>
        <v>-</v>
      </c>
      <c r="F2619" s="311"/>
      <c r="G2619" s="307" t="str">
        <f t="shared" si="496"/>
        <v>-</v>
      </c>
      <c r="H2619" s="352">
        <f t="shared" si="497"/>
        <v>0</v>
      </c>
      <c r="I2619" s="537" t="str">
        <f t="shared" si="498"/>
        <v>-</v>
      </c>
      <c r="J2619" s="538">
        <f t="shared" si="499"/>
        <v>0</v>
      </c>
      <c r="K2619" s="539" t="s">
        <v>2299</v>
      </c>
      <c r="L2619" s="20"/>
    </row>
    <row r="2620" spans="1:16">
      <c r="A2620" s="14" t="s">
        <v>31</v>
      </c>
      <c r="D2620" s="18">
        <v>17</v>
      </c>
      <c r="E2620" s="26" t="str">
        <f t="shared" si="495"/>
        <v>-</v>
      </c>
      <c r="F2620" s="311"/>
      <c r="G2620" s="307" t="str">
        <f t="shared" si="496"/>
        <v>-</v>
      </c>
      <c r="H2620" s="352">
        <f t="shared" si="497"/>
        <v>0</v>
      </c>
      <c r="I2620" s="537" t="str">
        <f t="shared" si="498"/>
        <v>-</v>
      </c>
      <c r="J2620" s="538">
        <f t="shared" si="499"/>
        <v>0</v>
      </c>
      <c r="K2620" s="539" t="s">
        <v>2299</v>
      </c>
      <c r="L2620" s="20"/>
    </row>
    <row r="2621" spans="1:16">
      <c r="A2621" s="14" t="s">
        <v>31</v>
      </c>
      <c r="D2621" s="18">
        <v>18</v>
      </c>
      <c r="E2621" s="26" t="str">
        <f t="shared" si="495"/>
        <v>-</v>
      </c>
      <c r="F2621" s="311"/>
      <c r="G2621" s="307" t="str">
        <f t="shared" si="496"/>
        <v>-</v>
      </c>
      <c r="H2621" s="352">
        <f t="shared" si="497"/>
        <v>0</v>
      </c>
      <c r="I2621" s="537" t="str">
        <f t="shared" si="498"/>
        <v>-</v>
      </c>
      <c r="J2621" s="538">
        <f t="shared" si="499"/>
        <v>0</v>
      </c>
      <c r="K2621" s="539" t="s">
        <v>2299</v>
      </c>
      <c r="L2621" s="20"/>
    </row>
    <row r="2622" spans="1:16">
      <c r="A2622" s="14" t="s">
        <v>31</v>
      </c>
      <c r="D2622" s="18">
        <v>19</v>
      </c>
      <c r="E2622" s="26" t="str">
        <f t="shared" si="495"/>
        <v>-</v>
      </c>
      <c r="F2622" s="311"/>
      <c r="G2622" s="307" t="str">
        <f t="shared" si="496"/>
        <v>-</v>
      </c>
      <c r="H2622" s="352">
        <f t="shared" si="497"/>
        <v>0</v>
      </c>
      <c r="I2622" s="537" t="str">
        <f t="shared" si="498"/>
        <v>-</v>
      </c>
      <c r="J2622" s="538">
        <f t="shared" si="499"/>
        <v>0</v>
      </c>
      <c r="K2622" s="539" t="s">
        <v>2299</v>
      </c>
      <c r="L2622" s="20"/>
    </row>
    <row r="2623" spans="1:16">
      <c r="A2623" s="14" t="s">
        <v>31</v>
      </c>
      <c r="D2623" s="18">
        <v>20</v>
      </c>
      <c r="E2623" s="26" t="str">
        <f t="shared" si="495"/>
        <v>-</v>
      </c>
      <c r="F2623" s="311"/>
      <c r="G2623" s="307" t="str">
        <f t="shared" si="496"/>
        <v>-</v>
      </c>
      <c r="H2623" s="352">
        <f t="shared" si="497"/>
        <v>0</v>
      </c>
      <c r="I2623" s="537" t="str">
        <f t="shared" si="498"/>
        <v>-</v>
      </c>
      <c r="J2623" s="541">
        <f t="shared" si="499"/>
        <v>0</v>
      </c>
      <c r="K2623" s="539" t="s">
        <v>2299</v>
      </c>
      <c r="L2623" s="20"/>
    </row>
    <row r="2624" spans="1:16">
      <c r="A2624" s="14">
        <f>A2591+1</f>
        <v>56</v>
      </c>
      <c r="B2624" s="14" t="str">
        <f>"MA" &amp; TEXT(A2624,"##000")</f>
        <v>MA056</v>
      </c>
      <c r="D2624" s="18"/>
      <c r="E2624" s="591" t="s">
        <v>2302</v>
      </c>
      <c r="F2624" s="592"/>
      <c r="G2624" s="592"/>
      <c r="H2624" s="592"/>
      <c r="I2624" s="328"/>
      <c r="J2624" s="353">
        <f>SUM(J2604:J2623)</f>
        <v>1291.0700000000002</v>
      </c>
      <c r="K2624" s="365" t="str">
        <f>+F2601</f>
        <v>gl</v>
      </c>
      <c r="L2624" s="20"/>
      <c r="O2624" s="27" t="s">
        <v>1525</v>
      </c>
      <c r="P2624" s="110">
        <v>3000</v>
      </c>
    </row>
    <row r="2625" spans="1:19">
      <c r="D2625" s="18"/>
      <c r="E2625" s="593" t="s">
        <v>100</v>
      </c>
      <c r="F2625" s="594"/>
      <c r="G2625" s="594"/>
      <c r="H2625" s="594"/>
      <c r="I2625" s="594"/>
      <c r="J2625" s="595"/>
      <c r="K2625" s="347"/>
      <c r="L2625" s="20"/>
      <c r="O2625" s="27" t="s">
        <v>1524</v>
      </c>
      <c r="P2625" s="110">
        <v>0</v>
      </c>
    </row>
    <row r="2626" spans="1:19">
      <c r="A2626" s="14" t="s">
        <v>84</v>
      </c>
      <c r="D2626" s="18">
        <v>1</v>
      </c>
      <c r="E2626" s="26" t="str">
        <f>VLOOKUP($A2626,MATMO,2,FALSE)</f>
        <v>Oficial</v>
      </c>
      <c r="F2626" s="311">
        <v>40</v>
      </c>
      <c r="G2626" s="307" t="str">
        <f>VLOOKUP($A2626,MATMO,3,FALSE)</f>
        <v>hs</v>
      </c>
      <c r="H2626" s="110">
        <f>VLOOKUP($A2626,MATMO,4,FALSE)*$Q$7</f>
        <v>55.38</v>
      </c>
      <c r="I2626" s="354" t="str">
        <f t="shared" ref="I2626:I2630" si="500">+G2626</f>
        <v>hs</v>
      </c>
      <c r="J2626" s="350">
        <f t="shared" ref="J2626:J2630" si="501">+H2626*F2626</f>
        <v>2215.2000000000003</v>
      </c>
      <c r="K2626" s="360" t="s">
        <v>2299</v>
      </c>
      <c r="L2626" s="20"/>
      <c r="M2626" s="14" t="s">
        <v>2006</v>
      </c>
      <c r="O2626" s="27" t="s">
        <v>1526</v>
      </c>
      <c r="P2626" s="110">
        <v>0</v>
      </c>
    </row>
    <row r="2627" spans="1:19">
      <c r="A2627" s="14" t="s">
        <v>85</v>
      </c>
      <c r="D2627" s="18">
        <v>2</v>
      </c>
      <c r="E2627" s="26" t="str">
        <f>VLOOKUP($A2627,MATMO,2,FALSE)</f>
        <v>Ayudante</v>
      </c>
      <c r="F2627" s="311">
        <v>15</v>
      </c>
      <c r="G2627" s="307" t="str">
        <f>VLOOKUP($A2627,MATMO,3,FALSE)</f>
        <v>hs</v>
      </c>
      <c r="H2627" s="110">
        <f>VLOOKUP($A2627,MATMO,4,FALSE)*$Q$7</f>
        <v>46.87</v>
      </c>
      <c r="I2627" s="354" t="str">
        <f t="shared" si="500"/>
        <v>hs</v>
      </c>
      <c r="J2627" s="350">
        <f t="shared" si="501"/>
        <v>703.05</v>
      </c>
      <c r="K2627" s="360" t="s">
        <v>2299</v>
      </c>
      <c r="L2627" s="20"/>
      <c r="O2627" s="27" t="s">
        <v>1527</v>
      </c>
      <c r="P2627" s="110">
        <v>0</v>
      </c>
    </row>
    <row r="2628" spans="1:19">
      <c r="A2628" s="14" t="s">
        <v>2311</v>
      </c>
      <c r="D2628" s="18">
        <v>3</v>
      </c>
      <c r="E2628" s="26" t="str">
        <f>VLOOKUP($A2628,MATMO,2,FALSE)</f>
        <v>Cargas Sociales Oficial</v>
      </c>
      <c r="F2628" s="311">
        <f>+F2626</f>
        <v>40</v>
      </c>
      <c r="G2628" s="307" t="str">
        <f>VLOOKUP($A2628,MATMO,3,FALSE)</f>
        <v>hs</v>
      </c>
      <c r="H2628" s="110">
        <f>VLOOKUP($A2628,MATMO,4,FALSE)*$Q$7</f>
        <v>52.742782499999997</v>
      </c>
      <c r="I2628" s="354" t="str">
        <f t="shared" si="500"/>
        <v>hs</v>
      </c>
      <c r="J2628" s="350">
        <f t="shared" si="501"/>
        <v>2109.7112999999999</v>
      </c>
      <c r="K2628" s="360" t="s">
        <v>2299</v>
      </c>
      <c r="L2628" s="20"/>
      <c r="O2628" s="27"/>
      <c r="P2628" s="110">
        <v>0</v>
      </c>
    </row>
    <row r="2629" spans="1:19">
      <c r="A2629" s="14" t="s">
        <v>2312</v>
      </c>
      <c r="D2629" s="18">
        <v>4</v>
      </c>
      <c r="E2629" s="26" t="str">
        <f>VLOOKUP($A2629,MATMO,2,FALSE)</f>
        <v>Cargas Sociales Ayudante</v>
      </c>
      <c r="F2629" s="311">
        <f>+F2627</f>
        <v>15</v>
      </c>
      <c r="G2629" s="307" t="str">
        <f>VLOOKUP($A2629,MATMO,3,FALSE)</f>
        <v>hs</v>
      </c>
      <c r="H2629" s="110">
        <f>VLOOKUP($A2629,MATMO,4,FALSE)*$Q$7</f>
        <v>45.108248750000001</v>
      </c>
      <c r="I2629" s="354" t="str">
        <f t="shared" si="500"/>
        <v>hs</v>
      </c>
      <c r="J2629" s="350">
        <f t="shared" si="501"/>
        <v>676.62373124999999</v>
      </c>
      <c r="K2629" s="360" t="s">
        <v>2299</v>
      </c>
      <c r="L2629" s="20"/>
      <c r="O2629" s="27"/>
      <c r="P2629" s="110">
        <v>0</v>
      </c>
    </row>
    <row r="2630" spans="1:19" ht="16.5" thickBot="1">
      <c r="A2630" s="14" t="s">
        <v>83</v>
      </c>
      <c r="D2630" s="18">
        <v>5</v>
      </c>
      <c r="E2630" s="26" t="str">
        <f>VLOOKUP($A2630,MATMO,2,FALSE)</f>
        <v>-</v>
      </c>
      <c r="F2630" s="311"/>
      <c r="G2630" s="307" t="str">
        <f>VLOOKUP($A2630,MATMO,3,FALSE)</f>
        <v>-</v>
      </c>
      <c r="H2630" s="110">
        <f>VLOOKUP($A2630,MATMO,4,FALSE)*$Q$7</f>
        <v>0</v>
      </c>
      <c r="I2630" s="537" t="str">
        <f t="shared" si="500"/>
        <v>-</v>
      </c>
      <c r="J2630" s="538">
        <f t="shared" si="501"/>
        <v>0</v>
      </c>
      <c r="K2630" s="539" t="s">
        <v>2299</v>
      </c>
      <c r="L2630" s="20"/>
      <c r="O2630" s="27"/>
      <c r="P2630" s="110">
        <v>0</v>
      </c>
      <c r="R2630" s="29" t="s">
        <v>2307</v>
      </c>
    </row>
    <row r="2631" spans="1:19" ht="16.5" thickBot="1">
      <c r="A2631" s="14">
        <f>A2591+1</f>
        <v>56</v>
      </c>
      <c r="B2631" s="14" t="str">
        <f>"MO" &amp; TEXT(A2631,"##000")</f>
        <v>MO056</v>
      </c>
      <c r="D2631" s="18"/>
      <c r="E2631" s="591" t="s">
        <v>2301</v>
      </c>
      <c r="F2631" s="592"/>
      <c r="G2631" s="592"/>
      <c r="H2631" s="592"/>
      <c r="I2631" s="328"/>
      <c r="J2631" s="362">
        <f>SUM(J2626:J2630)</f>
        <v>5704.5850312499997</v>
      </c>
      <c r="K2631" s="365" t="str">
        <f>+G2626</f>
        <v>hs</v>
      </c>
      <c r="L2631" s="20"/>
      <c r="N2631" s="111">
        <f>+P2631+R2631</f>
        <v>5700</v>
      </c>
      <c r="O2631" s="27"/>
      <c r="P2631" s="27">
        <f>SUM(P2624:P2630)</f>
        <v>3000</v>
      </c>
      <c r="Q2631" s="26">
        <v>0.9</v>
      </c>
      <c r="R2631" s="287">
        <f>+Q2631*P2631</f>
        <v>2700</v>
      </c>
      <c r="S2631" s="288"/>
    </row>
    <row r="2632" spans="1:19">
      <c r="D2632" s="18"/>
      <c r="E2632" s="593" t="s">
        <v>101</v>
      </c>
      <c r="F2632" s="594"/>
      <c r="G2632" s="594"/>
      <c r="H2632" s="594"/>
      <c r="I2632" s="594"/>
      <c r="J2632" s="595"/>
      <c r="K2632" s="347"/>
      <c r="L2632" s="20"/>
      <c r="P2632" s="14" t="s">
        <v>2308</v>
      </c>
    </row>
    <row r="2633" spans="1:19">
      <c r="A2633" s="14" t="s">
        <v>119</v>
      </c>
      <c r="D2633" s="18">
        <v>1</v>
      </c>
      <c r="E2633" s="26" t="str">
        <f>VLOOKUP($A2633,MATMO,2,FALSE)</f>
        <v>Herramientas de Mano</v>
      </c>
      <c r="F2633" s="311">
        <v>1</v>
      </c>
      <c r="G2633" s="307" t="str">
        <f>VLOOKUP($A2633,MATMO,3,FALSE)</f>
        <v>gl</v>
      </c>
      <c r="H2633" s="110">
        <f>+(J2624+J2631)*$Q$5</f>
        <v>279.82620125</v>
      </c>
      <c r="I2633" s="345" t="str">
        <f>+G2633</f>
        <v>gl</v>
      </c>
      <c r="J2633" s="350">
        <f t="shared" ref="J2633:J2637" si="502">+H2633*F2633</f>
        <v>279.82620125</v>
      </c>
      <c r="K2633" s="360" t="s">
        <v>2299</v>
      </c>
      <c r="L2633" s="20"/>
      <c r="M2633" s="14" t="s">
        <v>2004</v>
      </c>
    </row>
    <row r="2634" spans="1:19">
      <c r="A2634" s="14" t="s">
        <v>118</v>
      </c>
      <c r="D2634" s="18">
        <v>2</v>
      </c>
      <c r="E2634" s="26" t="str">
        <f>VLOOKUP($A2634,MATMO,2,FALSE)</f>
        <v>-</v>
      </c>
      <c r="F2634" s="311"/>
      <c r="G2634" s="307" t="str">
        <f>VLOOKUP($A2634,MATMO,3,FALSE)</f>
        <v>-</v>
      </c>
      <c r="H2634" s="110">
        <f>VLOOKUP($A2634,MATMO,4,FALSE)*$Q$6</f>
        <v>0</v>
      </c>
      <c r="I2634" s="543" t="str">
        <f t="shared" ref="I2634:I2637" si="503">+G2634</f>
        <v>-</v>
      </c>
      <c r="J2634" s="538">
        <f t="shared" si="502"/>
        <v>0</v>
      </c>
      <c r="K2634" s="539" t="s">
        <v>2299</v>
      </c>
      <c r="L2634" s="20"/>
    </row>
    <row r="2635" spans="1:19">
      <c r="A2635" s="14" t="s">
        <v>118</v>
      </c>
      <c r="D2635" s="18">
        <v>3</v>
      </c>
      <c r="E2635" s="26" t="str">
        <f>VLOOKUP($A2635,MATMO,2,FALSE)</f>
        <v>-</v>
      </c>
      <c r="F2635" s="311"/>
      <c r="G2635" s="307" t="str">
        <f>VLOOKUP($A2635,MATMO,3,FALSE)</f>
        <v>-</v>
      </c>
      <c r="H2635" s="110">
        <f>VLOOKUP($A2635,MATMO,4,FALSE)*$Q$6</f>
        <v>0</v>
      </c>
      <c r="I2635" s="543" t="str">
        <f t="shared" si="503"/>
        <v>-</v>
      </c>
      <c r="J2635" s="538">
        <f t="shared" si="502"/>
        <v>0</v>
      </c>
      <c r="K2635" s="539" t="s">
        <v>2299</v>
      </c>
      <c r="L2635" s="20"/>
    </row>
    <row r="2636" spans="1:19">
      <c r="A2636" s="14" t="s">
        <v>118</v>
      </c>
      <c r="D2636" s="18">
        <v>4</v>
      </c>
      <c r="E2636" s="26" t="str">
        <f>VLOOKUP($A2636,MATMO,2,FALSE)</f>
        <v>-</v>
      </c>
      <c r="F2636" s="311"/>
      <c r="G2636" s="307" t="str">
        <f>VLOOKUP($A2636,MATMO,3,FALSE)</f>
        <v>-</v>
      </c>
      <c r="H2636" s="110">
        <f>VLOOKUP($A2636,MATMO,4,FALSE)*$Q$6</f>
        <v>0</v>
      </c>
      <c r="I2636" s="543" t="str">
        <f t="shared" si="503"/>
        <v>-</v>
      </c>
      <c r="J2636" s="538">
        <f t="shared" si="502"/>
        <v>0</v>
      </c>
      <c r="K2636" s="539" t="s">
        <v>2299</v>
      </c>
      <c r="L2636" s="20"/>
    </row>
    <row r="2637" spans="1:19">
      <c r="A2637" s="14" t="s">
        <v>118</v>
      </c>
      <c r="D2637" s="18">
        <v>5</v>
      </c>
      <c r="E2637" s="26" t="str">
        <f>VLOOKUP($A2637,MATMO,2,FALSE)</f>
        <v>-</v>
      </c>
      <c r="F2637" s="311"/>
      <c r="G2637" s="307" t="str">
        <f>VLOOKUP($A2637,MATMO,3,FALSE)</f>
        <v>-</v>
      </c>
      <c r="H2637" s="110">
        <f>VLOOKUP($A2637,MATMO,4,FALSE)*$Q$6</f>
        <v>0</v>
      </c>
      <c r="I2637" s="543" t="str">
        <f t="shared" si="503"/>
        <v>-</v>
      </c>
      <c r="J2637" s="538">
        <f t="shared" si="502"/>
        <v>0</v>
      </c>
      <c r="K2637" s="539" t="s">
        <v>2299</v>
      </c>
      <c r="L2637" s="20"/>
    </row>
    <row r="2638" spans="1:19">
      <c r="A2638" s="14">
        <f>A2591+1</f>
        <v>56</v>
      </c>
      <c r="B2638" s="14" t="str">
        <f>"E" &amp; TEXT(A2638,"##000")</f>
        <v>E056</v>
      </c>
      <c r="D2638" s="18"/>
      <c r="E2638" s="591" t="s">
        <v>2300</v>
      </c>
      <c r="F2638" s="592"/>
      <c r="G2638" s="592"/>
      <c r="H2638" s="592"/>
      <c r="I2638" s="328"/>
      <c r="J2638" s="362">
        <f>SUM(J2633:J2637)</f>
        <v>279.82620125</v>
      </c>
      <c r="K2638" s="365" t="s">
        <v>116</v>
      </c>
      <c r="L2638" s="20"/>
    </row>
    <row r="2639" spans="1:19">
      <c r="D2639" s="18"/>
      <c r="E2639" s="596"/>
      <c r="F2639" s="597"/>
      <c r="G2639" s="597"/>
      <c r="H2639" s="597"/>
      <c r="I2639" s="597"/>
      <c r="J2639" s="598"/>
      <c r="K2639" s="348"/>
      <c r="L2639" s="20"/>
    </row>
    <row r="2640" spans="1:19">
      <c r="D2640" s="18"/>
      <c r="E2640" s="591" t="s">
        <v>2306</v>
      </c>
      <c r="F2640" s="592"/>
      <c r="G2640" s="592"/>
      <c r="H2640" s="592"/>
      <c r="I2640" s="328"/>
      <c r="J2640" s="308">
        <f>+J2638+J2631+J2624</f>
        <v>7275.4812325000003</v>
      </c>
      <c r="K2640" s="365" t="str">
        <f>+F2601</f>
        <v>gl</v>
      </c>
      <c r="L2640" s="20"/>
    </row>
    <row r="2641" spans="1:13">
      <c r="D2641" s="18"/>
      <c r="E2641" s="591" t="s">
        <v>2305</v>
      </c>
      <c r="F2641" s="592"/>
      <c r="G2641" s="592"/>
      <c r="H2641" s="592"/>
      <c r="I2641" s="406">
        <f>+$Q$9</f>
        <v>1.6902999999999999</v>
      </c>
      <c r="J2641" s="308">
        <f>+$Q$9*J2640</f>
        <v>12297.745927294749</v>
      </c>
      <c r="K2641" s="365" t="str">
        <f>+F2601</f>
        <v>gl</v>
      </c>
      <c r="L2641" s="20"/>
    </row>
    <row r="2642" spans="1:13">
      <c r="A2642" s="14">
        <f>A2595+1</f>
        <v>56</v>
      </c>
      <c r="B2642" s="14" t="str">
        <f>"TR" &amp; TEXT(A2642,"##000")</f>
        <v>TR056</v>
      </c>
      <c r="C2642" s="14">
        <f>+C2595+1</f>
        <v>56</v>
      </c>
      <c r="D2642" s="18"/>
      <c r="E2642" s="591" t="s">
        <v>2304</v>
      </c>
      <c r="F2642" s="592"/>
      <c r="G2642" s="592"/>
      <c r="H2642" s="592"/>
      <c r="I2642" s="328"/>
      <c r="J2642" s="308">
        <f>+J2641</f>
        <v>12297.745927294749</v>
      </c>
      <c r="K2642" s="365" t="str">
        <f>+F2601</f>
        <v>gl</v>
      </c>
      <c r="L2642" s="20"/>
    </row>
    <row r="2643" spans="1:13" ht="16.5" thickBot="1">
      <c r="D2643" s="21"/>
      <c r="E2643" s="30"/>
      <c r="F2643" s="30"/>
      <c r="G2643" s="30"/>
      <c r="H2643" s="30"/>
      <c r="I2643" s="30"/>
      <c r="J2643" s="30"/>
      <c r="K2643" s="349"/>
      <c r="L2643" s="22"/>
    </row>
    <row r="2644" spans="1:13" ht="16.5" thickTop="1">
      <c r="D2644" s="15"/>
      <c r="E2644" s="16"/>
      <c r="F2644" s="16"/>
      <c r="G2644" s="16"/>
      <c r="H2644" s="16"/>
      <c r="I2644" s="16"/>
      <c r="J2644" s="16"/>
      <c r="K2644" s="16"/>
      <c r="L2644" s="17"/>
    </row>
    <row r="2645" spans="1:13">
      <c r="A2645" s="14" t="s">
        <v>1892</v>
      </c>
      <c r="D2645" s="18"/>
      <c r="E2645" s="23" t="s">
        <v>95</v>
      </c>
      <c r="F2645" s="364" t="str">
        <f>VLOOKUP($A2645,DATRUB,3,FALSE)</f>
        <v>RUBRO XIII:</v>
      </c>
      <c r="G2645" s="599" t="str">
        <f>VLOOKUP($A2645,DATRUB,4,FALSE)</f>
        <v>INSTALACIÓN SANITARIA</v>
      </c>
      <c r="H2645" s="599"/>
      <c r="I2645" s="599"/>
      <c r="J2645" s="599"/>
      <c r="K2645" s="599"/>
      <c r="L2645" s="20"/>
    </row>
    <row r="2646" spans="1:13" ht="35.1" customHeight="1">
      <c r="A2646" s="14" t="s">
        <v>2041</v>
      </c>
      <c r="D2646" s="18"/>
      <c r="E2646" s="23" t="s">
        <v>96</v>
      </c>
      <c r="F2646" s="399">
        <f>VLOOKUP($A2646,DATRUB,3,FALSE)</f>
        <v>13.5</v>
      </c>
      <c r="G2646" s="599" t="str">
        <f>VLOOKUP($A2646,DATRUB,4,FALSE)</f>
        <v>Conexión  a Pozo Absorvente</v>
      </c>
      <c r="H2646" s="599"/>
      <c r="I2646" s="599"/>
      <c r="J2646" s="599"/>
      <c r="K2646" s="599"/>
      <c r="L2646" s="20"/>
    </row>
    <row r="2647" spans="1:13" ht="35.1" customHeight="1">
      <c r="A2647" s="14" t="s">
        <v>2041</v>
      </c>
      <c r="D2647" s="18"/>
      <c r="E2647" s="23" t="s">
        <v>97</v>
      </c>
      <c r="F2647" s="399">
        <f>VLOOKUP($A2647,DATRUB,3,FALSE)</f>
        <v>13.5</v>
      </c>
      <c r="G2647" s="599" t="str">
        <f>VLOOKUP($A2647,DATRUB,4,FALSE)</f>
        <v>Conexión  a Pozo Absorvente</v>
      </c>
      <c r="H2647" s="599"/>
      <c r="I2647" s="599"/>
      <c r="J2647" s="599"/>
      <c r="K2647" s="599"/>
      <c r="L2647" s="20"/>
    </row>
    <row r="2648" spans="1:13">
      <c r="D2648" s="18"/>
      <c r="E2648" s="23" t="s">
        <v>98</v>
      </c>
      <c r="F2648" s="364" t="str">
        <f>VLOOKUP($A2647,DATRUB,5,FALSE)</f>
        <v>gl</v>
      </c>
      <c r="G2648" s="600"/>
      <c r="H2648" s="600"/>
      <c r="I2648" s="600"/>
      <c r="J2648" s="600"/>
      <c r="K2648" s="600"/>
      <c r="L2648" s="20"/>
    </row>
    <row r="2649" spans="1:13">
      <c r="D2649" s="18"/>
      <c r="E2649" s="364" t="s">
        <v>1158</v>
      </c>
      <c r="F2649" s="363" t="s">
        <v>1250</v>
      </c>
      <c r="G2649" s="364" t="s">
        <v>24</v>
      </c>
      <c r="H2649" s="364" t="s">
        <v>25</v>
      </c>
      <c r="I2649" s="364" t="s">
        <v>24</v>
      </c>
      <c r="J2649" s="364" t="s">
        <v>2298</v>
      </c>
      <c r="K2649" s="364" t="s">
        <v>24</v>
      </c>
      <c r="L2649" s="20"/>
    </row>
    <row r="2650" spans="1:13">
      <c r="D2650" s="18"/>
      <c r="E2650" s="593" t="s">
        <v>99</v>
      </c>
      <c r="F2650" s="594"/>
      <c r="G2650" s="594"/>
      <c r="H2650" s="594"/>
      <c r="I2650" s="594"/>
      <c r="J2650" s="594"/>
      <c r="K2650" s="595"/>
      <c r="L2650" s="20"/>
    </row>
    <row r="2651" spans="1:13">
      <c r="A2651" s="14" t="s">
        <v>2485</v>
      </c>
      <c r="D2651" s="18">
        <v>1</v>
      </c>
      <c r="E2651" s="355" t="str">
        <f t="shared" ref="E2651:E2670" si="504">VLOOKUP($A2651,MATMO,2,FALSE)</f>
        <v>Materiales Conexión  a Pozo Absorvente</v>
      </c>
      <c r="F2651" s="356">
        <v>1</v>
      </c>
      <c r="G2651" s="357" t="str">
        <f t="shared" ref="G2651:G2670" si="505">VLOOKUP($A2651,MATMO,3,FALSE)</f>
        <v>gl</v>
      </c>
      <c r="H2651" s="358">
        <f t="shared" ref="H2651:H2670" si="506">VLOOKUP($A2651,MATMO,4,FALSE)*$Q$6</f>
        <v>10382.570000000002</v>
      </c>
      <c r="I2651" s="359" t="str">
        <f t="shared" ref="I2651:I2670" si="507">+G2651</f>
        <v>gl</v>
      </c>
      <c r="J2651" s="361">
        <f>+H2651*F2651</f>
        <v>10382.570000000002</v>
      </c>
      <c r="K2651" s="360" t="s">
        <v>2299</v>
      </c>
      <c r="L2651" s="20"/>
      <c r="M2651" s="14" t="s">
        <v>2005</v>
      </c>
    </row>
    <row r="2652" spans="1:13">
      <c r="A2652" s="14" t="s">
        <v>2374</v>
      </c>
      <c r="D2652" s="18">
        <v>2</v>
      </c>
      <c r="E2652" s="26" t="str">
        <f t="shared" si="504"/>
        <v>Ladrillon</v>
      </c>
      <c r="F2652" s="311">
        <f>69*35</f>
        <v>2415</v>
      </c>
      <c r="G2652" s="307" t="str">
        <f t="shared" si="505"/>
        <v>un</v>
      </c>
      <c r="H2652" s="351">
        <f t="shared" si="506"/>
        <v>4.7</v>
      </c>
      <c r="I2652" s="354" t="str">
        <f t="shared" si="507"/>
        <v>un</v>
      </c>
      <c r="J2652" s="350">
        <f t="shared" ref="J2652:J2670" si="508">+H2652*F2652</f>
        <v>11350.5</v>
      </c>
      <c r="K2652" s="360" t="s">
        <v>2299</v>
      </c>
      <c r="L2652" s="20"/>
    </row>
    <row r="2653" spans="1:13">
      <c r="A2653" s="14" t="s">
        <v>2487</v>
      </c>
      <c r="D2653" s="18">
        <v>3</v>
      </c>
      <c r="E2653" s="26" t="str">
        <f t="shared" si="504"/>
        <v xml:space="preserve">Viga de Pozo </v>
      </c>
      <c r="F2653" s="311">
        <v>2.75</v>
      </c>
      <c r="G2653" s="307" t="str">
        <f t="shared" si="505"/>
        <v>m³</v>
      </c>
      <c r="H2653" s="351">
        <f t="shared" si="506"/>
        <v>2800</v>
      </c>
      <c r="I2653" s="354" t="str">
        <f t="shared" si="507"/>
        <v>m³</v>
      </c>
      <c r="J2653" s="350">
        <f t="shared" si="508"/>
        <v>7700</v>
      </c>
      <c r="K2653" s="360" t="s">
        <v>2299</v>
      </c>
      <c r="L2653" s="20"/>
    </row>
    <row r="2654" spans="1:13">
      <c r="A2654" s="14" t="s">
        <v>2489</v>
      </c>
      <c r="D2654" s="18">
        <v>4</v>
      </c>
      <c r="E2654" s="26" t="str">
        <f t="shared" si="504"/>
        <v>Loza de Pozo</v>
      </c>
      <c r="F2654" s="311">
        <v>1.6</v>
      </c>
      <c r="G2654" s="307" t="str">
        <f t="shared" si="505"/>
        <v>m³</v>
      </c>
      <c r="H2654" s="351">
        <f t="shared" si="506"/>
        <v>3500</v>
      </c>
      <c r="I2654" s="354" t="str">
        <f t="shared" si="507"/>
        <v>m³</v>
      </c>
      <c r="J2654" s="350">
        <f t="shared" si="508"/>
        <v>5600</v>
      </c>
      <c r="K2654" s="360" t="s">
        <v>2299</v>
      </c>
      <c r="L2654" s="20"/>
    </row>
    <row r="2655" spans="1:13">
      <c r="A2655" s="14" t="s">
        <v>31</v>
      </c>
      <c r="D2655" s="18">
        <v>5</v>
      </c>
      <c r="E2655" s="26" t="str">
        <f t="shared" si="504"/>
        <v>-</v>
      </c>
      <c r="F2655" s="311"/>
      <c r="G2655" s="307" t="str">
        <f t="shared" si="505"/>
        <v>-</v>
      </c>
      <c r="H2655" s="351">
        <f t="shared" si="506"/>
        <v>0</v>
      </c>
      <c r="I2655" s="537" t="str">
        <f t="shared" si="507"/>
        <v>-</v>
      </c>
      <c r="J2655" s="538">
        <f t="shared" si="508"/>
        <v>0</v>
      </c>
      <c r="K2655" s="539" t="s">
        <v>2299</v>
      </c>
      <c r="L2655" s="20"/>
    </row>
    <row r="2656" spans="1:13">
      <c r="A2656" s="14" t="s">
        <v>31</v>
      </c>
      <c r="D2656" s="18">
        <v>6</v>
      </c>
      <c r="E2656" s="26" t="str">
        <f t="shared" si="504"/>
        <v>-</v>
      </c>
      <c r="F2656" s="311"/>
      <c r="G2656" s="307" t="str">
        <f t="shared" si="505"/>
        <v>-</v>
      </c>
      <c r="H2656" s="351">
        <f t="shared" si="506"/>
        <v>0</v>
      </c>
      <c r="I2656" s="537" t="str">
        <f t="shared" si="507"/>
        <v>-</v>
      </c>
      <c r="J2656" s="538">
        <f t="shared" si="508"/>
        <v>0</v>
      </c>
      <c r="K2656" s="539" t="s">
        <v>2299</v>
      </c>
      <c r="L2656" s="20"/>
    </row>
    <row r="2657" spans="1:16">
      <c r="A2657" s="14" t="s">
        <v>31</v>
      </c>
      <c r="D2657" s="18">
        <v>7</v>
      </c>
      <c r="E2657" s="26" t="str">
        <f t="shared" si="504"/>
        <v>-</v>
      </c>
      <c r="F2657" s="311"/>
      <c r="G2657" s="307" t="str">
        <f t="shared" si="505"/>
        <v>-</v>
      </c>
      <c r="H2657" s="351">
        <f t="shared" si="506"/>
        <v>0</v>
      </c>
      <c r="I2657" s="537" t="str">
        <f t="shared" si="507"/>
        <v>-</v>
      </c>
      <c r="J2657" s="538">
        <f t="shared" si="508"/>
        <v>0</v>
      </c>
      <c r="K2657" s="539" t="s">
        <v>2299</v>
      </c>
      <c r="L2657" s="20"/>
    </row>
    <row r="2658" spans="1:16">
      <c r="A2658" s="14" t="s">
        <v>31</v>
      </c>
      <c r="D2658" s="18">
        <v>8</v>
      </c>
      <c r="E2658" s="26" t="str">
        <f t="shared" si="504"/>
        <v>-</v>
      </c>
      <c r="F2658" s="311"/>
      <c r="G2658" s="307" t="str">
        <f t="shared" si="505"/>
        <v>-</v>
      </c>
      <c r="H2658" s="351">
        <f t="shared" si="506"/>
        <v>0</v>
      </c>
      <c r="I2658" s="537" t="str">
        <f t="shared" si="507"/>
        <v>-</v>
      </c>
      <c r="J2658" s="538">
        <f t="shared" si="508"/>
        <v>0</v>
      </c>
      <c r="K2658" s="539" t="s">
        <v>2299</v>
      </c>
      <c r="L2658" s="20"/>
    </row>
    <row r="2659" spans="1:16">
      <c r="A2659" s="14" t="s">
        <v>31</v>
      </c>
      <c r="D2659" s="18">
        <v>9</v>
      </c>
      <c r="E2659" s="26" t="str">
        <f t="shared" si="504"/>
        <v>-</v>
      </c>
      <c r="F2659" s="311"/>
      <c r="G2659" s="307" t="str">
        <f t="shared" si="505"/>
        <v>-</v>
      </c>
      <c r="H2659" s="351">
        <f t="shared" si="506"/>
        <v>0</v>
      </c>
      <c r="I2659" s="537" t="str">
        <f t="shared" si="507"/>
        <v>-</v>
      </c>
      <c r="J2659" s="538">
        <f t="shared" si="508"/>
        <v>0</v>
      </c>
      <c r="K2659" s="539" t="s">
        <v>2299</v>
      </c>
      <c r="L2659" s="20"/>
    </row>
    <row r="2660" spans="1:16">
      <c r="A2660" s="14" t="s">
        <v>31</v>
      </c>
      <c r="D2660" s="18">
        <v>10</v>
      </c>
      <c r="E2660" s="26" t="str">
        <f t="shared" si="504"/>
        <v>-</v>
      </c>
      <c r="F2660" s="311"/>
      <c r="G2660" s="307" t="str">
        <f t="shared" si="505"/>
        <v>-</v>
      </c>
      <c r="H2660" s="351">
        <f t="shared" si="506"/>
        <v>0</v>
      </c>
      <c r="I2660" s="537" t="str">
        <f t="shared" si="507"/>
        <v>-</v>
      </c>
      <c r="J2660" s="538">
        <f t="shared" si="508"/>
        <v>0</v>
      </c>
      <c r="K2660" s="539" t="s">
        <v>2299</v>
      </c>
      <c r="L2660" s="20"/>
    </row>
    <row r="2661" spans="1:16">
      <c r="A2661" s="14" t="s">
        <v>31</v>
      </c>
      <c r="D2661" s="18">
        <v>11</v>
      </c>
      <c r="E2661" s="26" t="str">
        <f t="shared" si="504"/>
        <v>-</v>
      </c>
      <c r="F2661" s="311"/>
      <c r="G2661" s="307" t="str">
        <f t="shared" si="505"/>
        <v>-</v>
      </c>
      <c r="H2661" s="351">
        <f t="shared" si="506"/>
        <v>0</v>
      </c>
      <c r="I2661" s="537" t="str">
        <f t="shared" si="507"/>
        <v>-</v>
      </c>
      <c r="J2661" s="538">
        <f t="shared" si="508"/>
        <v>0</v>
      </c>
      <c r="K2661" s="539" t="s">
        <v>2299</v>
      </c>
      <c r="L2661" s="20"/>
    </row>
    <row r="2662" spans="1:16">
      <c r="A2662" s="14" t="s">
        <v>31</v>
      </c>
      <c r="D2662" s="18">
        <v>12</v>
      </c>
      <c r="E2662" s="26" t="str">
        <f t="shared" si="504"/>
        <v>-</v>
      </c>
      <c r="F2662" s="311"/>
      <c r="G2662" s="307" t="str">
        <f t="shared" si="505"/>
        <v>-</v>
      </c>
      <c r="H2662" s="352">
        <f t="shared" si="506"/>
        <v>0</v>
      </c>
      <c r="I2662" s="537" t="str">
        <f t="shared" si="507"/>
        <v>-</v>
      </c>
      <c r="J2662" s="538">
        <f t="shared" si="508"/>
        <v>0</v>
      </c>
      <c r="K2662" s="539" t="s">
        <v>2299</v>
      </c>
      <c r="L2662" s="20"/>
    </row>
    <row r="2663" spans="1:16">
      <c r="A2663" s="14" t="s">
        <v>31</v>
      </c>
      <c r="D2663" s="18">
        <v>13</v>
      </c>
      <c r="E2663" s="26" t="str">
        <f t="shared" si="504"/>
        <v>-</v>
      </c>
      <c r="F2663" s="311"/>
      <c r="G2663" s="307" t="str">
        <f t="shared" si="505"/>
        <v>-</v>
      </c>
      <c r="H2663" s="352">
        <f t="shared" si="506"/>
        <v>0</v>
      </c>
      <c r="I2663" s="537" t="str">
        <f t="shared" si="507"/>
        <v>-</v>
      </c>
      <c r="J2663" s="538">
        <f t="shared" si="508"/>
        <v>0</v>
      </c>
      <c r="K2663" s="539" t="s">
        <v>2299</v>
      </c>
      <c r="L2663" s="20"/>
    </row>
    <row r="2664" spans="1:16">
      <c r="A2664" s="14" t="s">
        <v>31</v>
      </c>
      <c r="D2664" s="18">
        <v>14</v>
      </c>
      <c r="E2664" s="26" t="str">
        <f t="shared" si="504"/>
        <v>-</v>
      </c>
      <c r="F2664" s="311"/>
      <c r="G2664" s="307" t="str">
        <f t="shared" si="505"/>
        <v>-</v>
      </c>
      <c r="H2664" s="352">
        <f t="shared" si="506"/>
        <v>0</v>
      </c>
      <c r="I2664" s="537" t="str">
        <f t="shared" si="507"/>
        <v>-</v>
      </c>
      <c r="J2664" s="538">
        <f t="shared" si="508"/>
        <v>0</v>
      </c>
      <c r="K2664" s="539" t="s">
        <v>2299</v>
      </c>
      <c r="L2664" s="20"/>
    </row>
    <row r="2665" spans="1:16">
      <c r="A2665" s="14" t="s">
        <v>31</v>
      </c>
      <c r="D2665" s="18">
        <v>15</v>
      </c>
      <c r="E2665" s="26" t="str">
        <f t="shared" si="504"/>
        <v>-</v>
      </c>
      <c r="F2665" s="311"/>
      <c r="G2665" s="307" t="str">
        <f t="shared" si="505"/>
        <v>-</v>
      </c>
      <c r="H2665" s="352">
        <f t="shared" si="506"/>
        <v>0</v>
      </c>
      <c r="I2665" s="537" t="str">
        <f t="shared" si="507"/>
        <v>-</v>
      </c>
      <c r="J2665" s="538">
        <f t="shared" si="508"/>
        <v>0</v>
      </c>
      <c r="K2665" s="539" t="s">
        <v>2299</v>
      </c>
      <c r="L2665" s="20"/>
    </row>
    <row r="2666" spans="1:16">
      <c r="A2666" s="14" t="s">
        <v>31</v>
      </c>
      <c r="D2666" s="18">
        <v>16</v>
      </c>
      <c r="E2666" s="26" t="str">
        <f t="shared" si="504"/>
        <v>-</v>
      </c>
      <c r="F2666" s="311"/>
      <c r="G2666" s="307" t="str">
        <f t="shared" si="505"/>
        <v>-</v>
      </c>
      <c r="H2666" s="352">
        <f t="shared" si="506"/>
        <v>0</v>
      </c>
      <c r="I2666" s="537" t="str">
        <f t="shared" si="507"/>
        <v>-</v>
      </c>
      <c r="J2666" s="538">
        <f t="shared" si="508"/>
        <v>0</v>
      </c>
      <c r="K2666" s="539" t="s">
        <v>2299</v>
      </c>
      <c r="L2666" s="20"/>
    </row>
    <row r="2667" spans="1:16">
      <c r="A2667" s="14" t="s">
        <v>31</v>
      </c>
      <c r="D2667" s="18">
        <v>17</v>
      </c>
      <c r="E2667" s="26" t="str">
        <f t="shared" si="504"/>
        <v>-</v>
      </c>
      <c r="F2667" s="311"/>
      <c r="G2667" s="307" t="str">
        <f t="shared" si="505"/>
        <v>-</v>
      </c>
      <c r="H2667" s="352">
        <f t="shared" si="506"/>
        <v>0</v>
      </c>
      <c r="I2667" s="537" t="str">
        <f t="shared" si="507"/>
        <v>-</v>
      </c>
      <c r="J2667" s="538">
        <f t="shared" si="508"/>
        <v>0</v>
      </c>
      <c r="K2667" s="539" t="s">
        <v>2299</v>
      </c>
      <c r="L2667" s="20"/>
    </row>
    <row r="2668" spans="1:16">
      <c r="A2668" s="14" t="s">
        <v>31</v>
      </c>
      <c r="D2668" s="18">
        <v>18</v>
      </c>
      <c r="E2668" s="26" t="str">
        <f t="shared" si="504"/>
        <v>-</v>
      </c>
      <c r="F2668" s="311"/>
      <c r="G2668" s="307" t="str">
        <f t="shared" si="505"/>
        <v>-</v>
      </c>
      <c r="H2668" s="352">
        <f t="shared" si="506"/>
        <v>0</v>
      </c>
      <c r="I2668" s="537" t="str">
        <f t="shared" si="507"/>
        <v>-</v>
      </c>
      <c r="J2668" s="538">
        <f t="shared" si="508"/>
        <v>0</v>
      </c>
      <c r="K2668" s="539" t="s">
        <v>2299</v>
      </c>
      <c r="L2668" s="20"/>
    </row>
    <row r="2669" spans="1:16">
      <c r="A2669" s="14" t="s">
        <v>31</v>
      </c>
      <c r="D2669" s="18">
        <v>19</v>
      </c>
      <c r="E2669" s="26" t="str">
        <f t="shared" si="504"/>
        <v>-</v>
      </c>
      <c r="F2669" s="311"/>
      <c r="G2669" s="307" t="str">
        <f t="shared" si="505"/>
        <v>-</v>
      </c>
      <c r="H2669" s="352">
        <f t="shared" si="506"/>
        <v>0</v>
      </c>
      <c r="I2669" s="537" t="str">
        <f t="shared" si="507"/>
        <v>-</v>
      </c>
      <c r="J2669" s="538">
        <f t="shared" si="508"/>
        <v>0</v>
      </c>
      <c r="K2669" s="539" t="s">
        <v>2299</v>
      </c>
      <c r="L2669" s="20"/>
    </row>
    <row r="2670" spans="1:16">
      <c r="A2670" s="14" t="s">
        <v>31</v>
      </c>
      <c r="D2670" s="18">
        <v>20</v>
      </c>
      <c r="E2670" s="26" t="str">
        <f t="shared" si="504"/>
        <v>-</v>
      </c>
      <c r="F2670" s="311"/>
      <c r="G2670" s="307" t="str">
        <f t="shared" si="505"/>
        <v>-</v>
      </c>
      <c r="H2670" s="352">
        <f t="shared" si="506"/>
        <v>0</v>
      </c>
      <c r="I2670" s="537" t="str">
        <f t="shared" si="507"/>
        <v>-</v>
      </c>
      <c r="J2670" s="541">
        <f t="shared" si="508"/>
        <v>0</v>
      </c>
      <c r="K2670" s="539" t="s">
        <v>2299</v>
      </c>
      <c r="L2670" s="20"/>
    </row>
    <row r="2671" spans="1:16">
      <c r="A2671" s="14">
        <f>A2638+1</f>
        <v>57</v>
      </c>
      <c r="B2671" s="14" t="str">
        <f>"MA" &amp; TEXT(A2671,"##000")</f>
        <v>MA057</v>
      </c>
      <c r="D2671" s="18"/>
      <c r="E2671" s="591" t="s">
        <v>2302</v>
      </c>
      <c r="F2671" s="592"/>
      <c r="G2671" s="592"/>
      <c r="H2671" s="592"/>
      <c r="I2671" s="328"/>
      <c r="J2671" s="353">
        <f>SUM(J2651:J2670)</f>
        <v>35033.07</v>
      </c>
      <c r="K2671" s="365" t="str">
        <f>+F2648</f>
        <v>gl</v>
      </c>
      <c r="L2671" s="20"/>
      <c r="O2671" s="27" t="s">
        <v>1525</v>
      </c>
      <c r="P2671" s="110">
        <f>3000+18000</f>
        <v>21000</v>
      </c>
    </row>
    <row r="2672" spans="1:16">
      <c r="D2672" s="18"/>
      <c r="E2672" s="593" t="s">
        <v>100</v>
      </c>
      <c r="F2672" s="594"/>
      <c r="G2672" s="594"/>
      <c r="H2672" s="594"/>
      <c r="I2672" s="594"/>
      <c r="J2672" s="595"/>
      <c r="K2672" s="347"/>
      <c r="L2672" s="20"/>
      <c r="O2672" s="27" t="s">
        <v>1524</v>
      </c>
      <c r="P2672" s="110">
        <v>0</v>
      </c>
    </row>
    <row r="2673" spans="1:19">
      <c r="A2673" s="14" t="s">
        <v>84</v>
      </c>
      <c r="D2673" s="18">
        <v>1</v>
      </c>
      <c r="E2673" s="26" t="str">
        <f>VLOOKUP($A2673,MATMO,2,FALSE)</f>
        <v>Oficial</v>
      </c>
      <c r="F2673" s="311">
        <v>284</v>
      </c>
      <c r="G2673" s="307" t="str">
        <f>VLOOKUP($A2673,MATMO,3,FALSE)</f>
        <v>hs</v>
      </c>
      <c r="H2673" s="110">
        <f>VLOOKUP($A2673,MATMO,4,FALSE)*$Q$7</f>
        <v>55.38</v>
      </c>
      <c r="I2673" s="354" t="str">
        <f t="shared" ref="I2673:I2677" si="509">+G2673</f>
        <v>hs</v>
      </c>
      <c r="J2673" s="350">
        <f t="shared" ref="J2673:J2677" si="510">+H2673*F2673</f>
        <v>15727.92</v>
      </c>
      <c r="K2673" s="360" t="s">
        <v>2299</v>
      </c>
      <c r="L2673" s="20"/>
      <c r="M2673" s="14" t="s">
        <v>2006</v>
      </c>
      <c r="O2673" s="27" t="s">
        <v>1526</v>
      </c>
      <c r="P2673" s="110">
        <v>0</v>
      </c>
    </row>
    <row r="2674" spans="1:19">
      <c r="A2674" s="14" t="s">
        <v>85</v>
      </c>
      <c r="D2674" s="18">
        <v>2</v>
      </c>
      <c r="E2674" s="26" t="str">
        <f>VLOOKUP($A2674,MATMO,2,FALSE)</f>
        <v>Ayudante</v>
      </c>
      <c r="F2674" s="311">
        <v>100</v>
      </c>
      <c r="G2674" s="307" t="str">
        <f>VLOOKUP($A2674,MATMO,3,FALSE)</f>
        <v>hs</v>
      </c>
      <c r="H2674" s="110">
        <f>VLOOKUP($A2674,MATMO,4,FALSE)*$Q$7</f>
        <v>46.87</v>
      </c>
      <c r="I2674" s="354" t="str">
        <f t="shared" si="509"/>
        <v>hs</v>
      </c>
      <c r="J2674" s="350">
        <f t="shared" si="510"/>
        <v>4687</v>
      </c>
      <c r="K2674" s="360" t="s">
        <v>2299</v>
      </c>
      <c r="L2674" s="20"/>
      <c r="O2674" s="27" t="s">
        <v>1527</v>
      </c>
      <c r="P2674" s="110">
        <v>0</v>
      </c>
    </row>
    <row r="2675" spans="1:19">
      <c r="A2675" s="14" t="s">
        <v>2311</v>
      </c>
      <c r="D2675" s="18">
        <v>3</v>
      </c>
      <c r="E2675" s="26" t="str">
        <f>VLOOKUP($A2675,MATMO,2,FALSE)</f>
        <v>Cargas Sociales Oficial</v>
      </c>
      <c r="F2675" s="311">
        <f>+F2673</f>
        <v>284</v>
      </c>
      <c r="G2675" s="307" t="str">
        <f>VLOOKUP($A2675,MATMO,3,FALSE)</f>
        <v>hs</v>
      </c>
      <c r="H2675" s="110">
        <f>VLOOKUP($A2675,MATMO,4,FALSE)*$Q$7</f>
        <v>52.742782499999997</v>
      </c>
      <c r="I2675" s="354" t="str">
        <f t="shared" si="509"/>
        <v>hs</v>
      </c>
      <c r="J2675" s="350">
        <f t="shared" si="510"/>
        <v>14978.950229999999</v>
      </c>
      <c r="K2675" s="360" t="s">
        <v>2299</v>
      </c>
      <c r="L2675" s="20"/>
      <c r="O2675" s="27"/>
      <c r="P2675" s="110">
        <v>0</v>
      </c>
    </row>
    <row r="2676" spans="1:19">
      <c r="A2676" s="14" t="s">
        <v>2312</v>
      </c>
      <c r="D2676" s="18">
        <v>4</v>
      </c>
      <c r="E2676" s="26" t="str">
        <f>VLOOKUP($A2676,MATMO,2,FALSE)</f>
        <v>Cargas Sociales Ayudante</v>
      </c>
      <c r="F2676" s="311">
        <f>+F2674</f>
        <v>100</v>
      </c>
      <c r="G2676" s="307" t="str">
        <f>VLOOKUP($A2676,MATMO,3,FALSE)</f>
        <v>hs</v>
      </c>
      <c r="H2676" s="110">
        <f>VLOOKUP($A2676,MATMO,4,FALSE)*$Q$7</f>
        <v>45.108248750000001</v>
      </c>
      <c r="I2676" s="354" t="str">
        <f t="shared" si="509"/>
        <v>hs</v>
      </c>
      <c r="J2676" s="350">
        <f t="shared" si="510"/>
        <v>4510.8248750000002</v>
      </c>
      <c r="K2676" s="360" t="s">
        <v>2299</v>
      </c>
      <c r="L2676" s="20"/>
      <c r="O2676" s="27"/>
      <c r="P2676" s="110">
        <v>0</v>
      </c>
    </row>
    <row r="2677" spans="1:19" ht="16.5" thickBot="1">
      <c r="A2677" s="14" t="s">
        <v>83</v>
      </c>
      <c r="D2677" s="18">
        <v>5</v>
      </c>
      <c r="E2677" s="26" t="str">
        <f>VLOOKUP($A2677,MATMO,2,FALSE)</f>
        <v>-</v>
      </c>
      <c r="F2677" s="311"/>
      <c r="G2677" s="307" t="str">
        <f>VLOOKUP($A2677,MATMO,3,FALSE)</f>
        <v>-</v>
      </c>
      <c r="H2677" s="110">
        <f>VLOOKUP($A2677,MATMO,4,FALSE)*$Q$7</f>
        <v>0</v>
      </c>
      <c r="I2677" s="537" t="str">
        <f t="shared" si="509"/>
        <v>-</v>
      </c>
      <c r="J2677" s="538">
        <f t="shared" si="510"/>
        <v>0</v>
      </c>
      <c r="K2677" s="539" t="s">
        <v>2299</v>
      </c>
      <c r="L2677" s="20"/>
      <c r="O2677" s="27"/>
      <c r="P2677" s="110">
        <v>0</v>
      </c>
      <c r="R2677" s="29" t="s">
        <v>2307</v>
      </c>
    </row>
    <row r="2678" spans="1:19" ht="16.5" thickBot="1">
      <c r="A2678" s="14">
        <f>A2638+1</f>
        <v>57</v>
      </c>
      <c r="B2678" s="14" t="str">
        <f>"MO" &amp; TEXT(A2678,"##000")</f>
        <v>MO057</v>
      </c>
      <c r="D2678" s="18"/>
      <c r="E2678" s="591" t="s">
        <v>2301</v>
      </c>
      <c r="F2678" s="592"/>
      <c r="G2678" s="592"/>
      <c r="H2678" s="592"/>
      <c r="I2678" s="328"/>
      <c r="J2678" s="362">
        <f>SUM(J2673:J2677)</f>
        <v>39904.695104999999</v>
      </c>
      <c r="K2678" s="365" t="str">
        <f>+G2673</f>
        <v>hs</v>
      </c>
      <c r="L2678" s="20"/>
      <c r="N2678" s="111">
        <f>+P2678+R2678</f>
        <v>39900</v>
      </c>
      <c r="O2678" s="27"/>
      <c r="P2678" s="27">
        <f>SUM(P2671:P2677)</f>
        <v>21000</v>
      </c>
      <c r="Q2678" s="26">
        <v>0.9</v>
      </c>
      <c r="R2678" s="287">
        <f>+Q2678*P2678</f>
        <v>18900</v>
      </c>
      <c r="S2678" s="288"/>
    </row>
    <row r="2679" spans="1:19">
      <c r="D2679" s="18"/>
      <c r="E2679" s="593" t="s">
        <v>101</v>
      </c>
      <c r="F2679" s="594"/>
      <c r="G2679" s="594"/>
      <c r="H2679" s="594"/>
      <c r="I2679" s="594"/>
      <c r="J2679" s="595"/>
      <c r="K2679" s="347"/>
      <c r="L2679" s="20"/>
      <c r="P2679" s="14" t="s">
        <v>2308</v>
      </c>
    </row>
    <row r="2680" spans="1:19">
      <c r="A2680" s="14" t="s">
        <v>119</v>
      </c>
      <c r="D2680" s="18">
        <v>1</v>
      </c>
      <c r="E2680" s="26" t="str">
        <f>VLOOKUP($A2680,MATMO,2,FALSE)</f>
        <v>Herramientas de Mano</v>
      </c>
      <c r="F2680" s="311">
        <v>1</v>
      </c>
      <c r="G2680" s="307" t="str">
        <f>VLOOKUP($A2680,MATMO,3,FALSE)</f>
        <v>gl</v>
      </c>
      <c r="H2680" s="110">
        <f>+(J2671+J2678)*$Q$5</f>
        <v>2997.5106042000002</v>
      </c>
      <c r="I2680" s="345" t="str">
        <f>+G2680</f>
        <v>gl</v>
      </c>
      <c r="J2680" s="350">
        <f t="shared" ref="J2680:J2684" si="511">+H2680*F2680</f>
        <v>2997.5106042000002</v>
      </c>
      <c r="K2680" s="360" t="s">
        <v>2299</v>
      </c>
      <c r="L2680" s="20"/>
      <c r="M2680" s="14" t="s">
        <v>2004</v>
      </c>
    </row>
    <row r="2681" spans="1:19">
      <c r="A2681" s="14" t="s">
        <v>118</v>
      </c>
      <c r="D2681" s="18">
        <v>2</v>
      </c>
      <c r="E2681" s="26" t="str">
        <f>VLOOKUP($A2681,MATMO,2,FALSE)</f>
        <v>-</v>
      </c>
      <c r="F2681" s="311"/>
      <c r="G2681" s="307" t="str">
        <f>VLOOKUP($A2681,MATMO,3,FALSE)</f>
        <v>-</v>
      </c>
      <c r="H2681" s="110">
        <f>VLOOKUP($A2681,MATMO,4,FALSE)*$Q$6</f>
        <v>0</v>
      </c>
      <c r="I2681" s="543" t="str">
        <f t="shared" ref="I2681:I2684" si="512">+G2681</f>
        <v>-</v>
      </c>
      <c r="J2681" s="538">
        <f t="shared" si="511"/>
        <v>0</v>
      </c>
      <c r="K2681" s="539" t="s">
        <v>2299</v>
      </c>
      <c r="L2681" s="20"/>
    </row>
    <row r="2682" spans="1:19">
      <c r="A2682" s="14" t="s">
        <v>118</v>
      </c>
      <c r="D2682" s="18">
        <v>3</v>
      </c>
      <c r="E2682" s="26" t="str">
        <f>VLOOKUP($A2682,MATMO,2,FALSE)</f>
        <v>-</v>
      </c>
      <c r="F2682" s="311"/>
      <c r="G2682" s="307" t="str">
        <f>VLOOKUP($A2682,MATMO,3,FALSE)</f>
        <v>-</v>
      </c>
      <c r="H2682" s="110">
        <f>VLOOKUP($A2682,MATMO,4,FALSE)*$Q$6</f>
        <v>0</v>
      </c>
      <c r="I2682" s="543" t="str">
        <f t="shared" si="512"/>
        <v>-</v>
      </c>
      <c r="J2682" s="538">
        <f t="shared" si="511"/>
        <v>0</v>
      </c>
      <c r="K2682" s="539" t="s">
        <v>2299</v>
      </c>
      <c r="L2682" s="20"/>
    </row>
    <row r="2683" spans="1:19">
      <c r="A2683" s="14" t="s">
        <v>118</v>
      </c>
      <c r="D2683" s="18">
        <v>4</v>
      </c>
      <c r="E2683" s="26" t="str">
        <f>VLOOKUP($A2683,MATMO,2,FALSE)</f>
        <v>-</v>
      </c>
      <c r="F2683" s="311"/>
      <c r="G2683" s="307" t="str">
        <f>VLOOKUP($A2683,MATMO,3,FALSE)</f>
        <v>-</v>
      </c>
      <c r="H2683" s="110">
        <f>VLOOKUP($A2683,MATMO,4,FALSE)*$Q$6</f>
        <v>0</v>
      </c>
      <c r="I2683" s="543" t="str">
        <f t="shared" si="512"/>
        <v>-</v>
      </c>
      <c r="J2683" s="538">
        <f t="shared" si="511"/>
        <v>0</v>
      </c>
      <c r="K2683" s="539" t="s">
        <v>2299</v>
      </c>
      <c r="L2683" s="20"/>
    </row>
    <row r="2684" spans="1:19">
      <c r="A2684" s="14" t="s">
        <v>118</v>
      </c>
      <c r="D2684" s="18">
        <v>5</v>
      </c>
      <c r="E2684" s="26" t="str">
        <f>VLOOKUP($A2684,MATMO,2,FALSE)</f>
        <v>-</v>
      </c>
      <c r="F2684" s="311"/>
      <c r="G2684" s="307" t="str">
        <f>VLOOKUP($A2684,MATMO,3,FALSE)</f>
        <v>-</v>
      </c>
      <c r="H2684" s="110">
        <f>VLOOKUP($A2684,MATMO,4,FALSE)*$Q$6</f>
        <v>0</v>
      </c>
      <c r="I2684" s="543" t="str">
        <f t="shared" si="512"/>
        <v>-</v>
      </c>
      <c r="J2684" s="538">
        <f t="shared" si="511"/>
        <v>0</v>
      </c>
      <c r="K2684" s="539" t="s">
        <v>2299</v>
      </c>
      <c r="L2684" s="20"/>
    </row>
    <row r="2685" spans="1:19">
      <c r="A2685" s="14">
        <f>A2638+1</f>
        <v>57</v>
      </c>
      <c r="B2685" s="14" t="str">
        <f>"E" &amp; TEXT(A2685,"##000")</f>
        <v>E057</v>
      </c>
      <c r="D2685" s="18"/>
      <c r="E2685" s="591" t="s">
        <v>2300</v>
      </c>
      <c r="F2685" s="592"/>
      <c r="G2685" s="592"/>
      <c r="H2685" s="592"/>
      <c r="I2685" s="328"/>
      <c r="J2685" s="362">
        <f>SUM(J2680:J2684)</f>
        <v>2997.5106042000002</v>
      </c>
      <c r="K2685" s="365" t="s">
        <v>116</v>
      </c>
      <c r="L2685" s="20"/>
    </row>
    <row r="2686" spans="1:19">
      <c r="D2686" s="18"/>
      <c r="E2686" s="596"/>
      <c r="F2686" s="597"/>
      <c r="G2686" s="597"/>
      <c r="H2686" s="597"/>
      <c r="I2686" s="597"/>
      <c r="J2686" s="598"/>
      <c r="K2686" s="348"/>
      <c r="L2686" s="20"/>
    </row>
    <row r="2687" spans="1:19">
      <c r="D2687" s="18"/>
      <c r="E2687" s="591" t="s">
        <v>2306</v>
      </c>
      <c r="F2687" s="592"/>
      <c r="G2687" s="592"/>
      <c r="H2687" s="592"/>
      <c r="I2687" s="328"/>
      <c r="J2687" s="308">
        <f>+J2685+J2678+J2671</f>
        <v>77935.275709199996</v>
      </c>
      <c r="K2687" s="365" t="str">
        <f>+F2648</f>
        <v>gl</v>
      </c>
      <c r="L2687" s="20"/>
    </row>
    <row r="2688" spans="1:19">
      <c r="D2688" s="18"/>
      <c r="E2688" s="591" t="s">
        <v>2305</v>
      </c>
      <c r="F2688" s="592"/>
      <c r="G2688" s="592"/>
      <c r="H2688" s="592"/>
      <c r="I2688" s="328"/>
      <c r="J2688" s="308">
        <f>+$Q$9*J2687</f>
        <v>131733.99653126075</v>
      </c>
      <c r="K2688" s="365" t="str">
        <f>+F2648</f>
        <v>gl</v>
      </c>
      <c r="L2688" s="20"/>
    </row>
    <row r="2689" spans="1:13">
      <c r="A2689" s="14">
        <f>A2642+1</f>
        <v>57</v>
      </c>
      <c r="B2689" s="14" t="str">
        <f>"TR" &amp; TEXT(A2689,"##000")</f>
        <v>TR057</v>
      </c>
      <c r="C2689" s="14">
        <f>+C2642+1</f>
        <v>57</v>
      </c>
      <c r="D2689" s="18"/>
      <c r="E2689" s="591" t="s">
        <v>2304</v>
      </c>
      <c r="F2689" s="592"/>
      <c r="G2689" s="592"/>
      <c r="H2689" s="592"/>
      <c r="I2689" s="328"/>
      <c r="J2689" s="308">
        <f>+J2688</f>
        <v>131733.99653126075</v>
      </c>
      <c r="K2689" s="365" t="str">
        <f>+F2648</f>
        <v>gl</v>
      </c>
      <c r="L2689" s="20"/>
    </row>
    <row r="2690" spans="1:13" ht="16.5" thickBot="1">
      <c r="D2690" s="21"/>
      <c r="E2690" s="30"/>
      <c r="F2690" s="30"/>
      <c r="G2690" s="30"/>
      <c r="H2690" s="30"/>
      <c r="I2690" s="30"/>
      <c r="J2690" s="30"/>
      <c r="K2690" s="349"/>
      <c r="L2690" s="22"/>
    </row>
    <row r="2691" spans="1:13" ht="16.5" thickTop="1">
      <c r="D2691" s="15"/>
      <c r="E2691" s="16"/>
      <c r="F2691" s="16"/>
      <c r="G2691" s="16"/>
      <c r="H2691" s="16"/>
      <c r="I2691" s="16"/>
      <c r="J2691" s="16"/>
      <c r="K2691" s="16"/>
      <c r="L2691" s="17"/>
    </row>
    <row r="2692" spans="1:13">
      <c r="A2692" s="14" t="s">
        <v>2043</v>
      </c>
      <c r="D2692" s="18"/>
      <c r="E2692" s="23" t="s">
        <v>95</v>
      </c>
      <c r="F2692" s="364" t="str">
        <f>VLOOKUP($A2692,DATRUB,3,FALSE)</f>
        <v>RUBRO XV:</v>
      </c>
      <c r="G2692" s="599" t="str">
        <f>VLOOKUP($A2692,DATRUB,4,FALSE)</f>
        <v>SEGURIDAD</v>
      </c>
      <c r="H2692" s="599"/>
      <c r="I2692" s="599"/>
      <c r="J2692" s="599"/>
      <c r="K2692" s="599"/>
      <c r="L2692" s="20"/>
    </row>
    <row r="2693" spans="1:13" ht="35.1" customHeight="1">
      <c r="A2693" s="14" t="s">
        <v>2044</v>
      </c>
      <c r="D2693" s="18"/>
      <c r="E2693" s="23" t="s">
        <v>96</v>
      </c>
      <c r="F2693" s="399">
        <f>VLOOKUP($A2693,DATRUB,3,FALSE)</f>
        <v>15.1</v>
      </c>
      <c r="G2693" s="599" t="str">
        <f>VLOOKUP($A2693,DATRUB,4,FALSE)</f>
        <v>CONTRA INCENDIO - Matafuegos ABC 5kg Colocado - Sello IRAM</v>
      </c>
      <c r="H2693" s="599"/>
      <c r="I2693" s="599"/>
      <c r="J2693" s="599"/>
      <c r="K2693" s="599"/>
      <c r="L2693" s="20"/>
    </row>
    <row r="2694" spans="1:13" ht="35.1" customHeight="1">
      <c r="A2694" s="14" t="s">
        <v>2044</v>
      </c>
      <c r="D2694" s="18"/>
      <c r="E2694" s="23" t="s">
        <v>97</v>
      </c>
      <c r="F2694" s="399">
        <f>VLOOKUP($A2694,DATRUB,3,FALSE)</f>
        <v>15.1</v>
      </c>
      <c r="G2694" s="599" t="str">
        <f>VLOOKUP($A2694,DATRUB,4,FALSE)</f>
        <v>CONTRA INCENDIO - Matafuegos ABC 5kg Colocado - Sello IRAM</v>
      </c>
      <c r="H2694" s="599"/>
      <c r="I2694" s="599"/>
      <c r="J2694" s="599"/>
      <c r="K2694" s="599"/>
      <c r="L2694" s="20"/>
    </row>
    <row r="2695" spans="1:13">
      <c r="D2695" s="18"/>
      <c r="E2695" s="23" t="s">
        <v>98</v>
      </c>
      <c r="F2695" s="364" t="str">
        <f>VLOOKUP($A2694,DATRUB,5,FALSE)</f>
        <v>ud</v>
      </c>
      <c r="G2695" s="600"/>
      <c r="H2695" s="600"/>
      <c r="I2695" s="600"/>
      <c r="J2695" s="600"/>
      <c r="K2695" s="600"/>
      <c r="L2695" s="20"/>
    </row>
    <row r="2696" spans="1:13">
      <c r="D2696" s="18"/>
      <c r="E2696" s="364" t="s">
        <v>1158</v>
      </c>
      <c r="F2696" s="363" t="s">
        <v>1250</v>
      </c>
      <c r="G2696" s="364" t="s">
        <v>24</v>
      </c>
      <c r="H2696" s="364" t="s">
        <v>25</v>
      </c>
      <c r="I2696" s="364" t="s">
        <v>24</v>
      </c>
      <c r="J2696" s="364" t="s">
        <v>2298</v>
      </c>
      <c r="K2696" s="364" t="s">
        <v>24</v>
      </c>
      <c r="L2696" s="20"/>
    </row>
    <row r="2697" spans="1:13">
      <c r="D2697" s="18"/>
      <c r="E2697" s="593" t="s">
        <v>99</v>
      </c>
      <c r="F2697" s="594"/>
      <c r="G2697" s="594"/>
      <c r="H2697" s="594"/>
      <c r="I2697" s="594"/>
      <c r="J2697" s="594"/>
      <c r="K2697" s="595"/>
      <c r="L2697" s="20"/>
    </row>
    <row r="2698" spans="1:13">
      <c r="A2698" s="14" t="s">
        <v>2492</v>
      </c>
      <c r="D2698" s="18">
        <v>1</v>
      </c>
      <c r="E2698" s="409" t="str">
        <f t="shared" ref="E2698:E2717" si="513">VLOOKUP($A2698,MATMO,2,FALSE)</f>
        <v>Extintor ABC 5 kg</v>
      </c>
      <c r="F2698" s="420">
        <v>3</v>
      </c>
      <c r="G2698" s="357" t="str">
        <f t="shared" ref="G2698:G2717" si="514">VLOOKUP($A2698,MATMO,3,FALSE)</f>
        <v>u</v>
      </c>
      <c r="H2698" s="358">
        <f t="shared" ref="H2698:H2717" si="515">VLOOKUP($A2698,MATMO,4,FALSE)*$Q$6</f>
        <v>1160</v>
      </c>
      <c r="I2698" s="359" t="str">
        <f t="shared" ref="I2698:I2717" si="516">+G2698</f>
        <v>u</v>
      </c>
      <c r="J2698" s="361">
        <f>+H2698*F2698</f>
        <v>3480</v>
      </c>
      <c r="K2698" s="360" t="s">
        <v>2299</v>
      </c>
      <c r="L2698" s="20"/>
      <c r="M2698" s="14" t="s">
        <v>2005</v>
      </c>
    </row>
    <row r="2699" spans="1:13">
      <c r="A2699" s="14" t="s">
        <v>2446</v>
      </c>
      <c r="D2699" s="18">
        <v>2</v>
      </c>
      <c r="E2699" s="26" t="str">
        <f t="shared" si="513"/>
        <v xml:space="preserve">Metales Accesorios </v>
      </c>
      <c r="F2699" s="311">
        <v>1</v>
      </c>
      <c r="G2699" s="307" t="str">
        <f t="shared" si="514"/>
        <v>gl</v>
      </c>
      <c r="H2699" s="351">
        <f t="shared" si="515"/>
        <v>10</v>
      </c>
      <c r="I2699" s="354" t="str">
        <f t="shared" si="516"/>
        <v>gl</v>
      </c>
      <c r="J2699" s="350">
        <f t="shared" ref="J2699:J2717" si="517">+H2699*F2699</f>
        <v>10</v>
      </c>
      <c r="K2699" s="360" t="s">
        <v>2299</v>
      </c>
      <c r="L2699" s="20"/>
    </row>
    <row r="2700" spans="1:13">
      <c r="A2700" s="14" t="s">
        <v>31</v>
      </c>
      <c r="D2700" s="18">
        <v>3</v>
      </c>
      <c r="E2700" s="26" t="str">
        <f t="shared" si="513"/>
        <v>-</v>
      </c>
      <c r="F2700" s="311"/>
      <c r="G2700" s="307" t="str">
        <f t="shared" si="514"/>
        <v>-</v>
      </c>
      <c r="H2700" s="351">
        <f t="shared" si="515"/>
        <v>0</v>
      </c>
      <c r="I2700" s="537" t="str">
        <f t="shared" si="516"/>
        <v>-</v>
      </c>
      <c r="J2700" s="538">
        <f t="shared" si="517"/>
        <v>0</v>
      </c>
      <c r="K2700" s="539" t="s">
        <v>2299</v>
      </c>
      <c r="L2700" s="20"/>
    </row>
    <row r="2701" spans="1:13">
      <c r="A2701" s="14" t="s">
        <v>31</v>
      </c>
      <c r="D2701" s="18">
        <v>4</v>
      </c>
      <c r="E2701" s="26" t="str">
        <f t="shared" si="513"/>
        <v>-</v>
      </c>
      <c r="F2701" s="311"/>
      <c r="G2701" s="307" t="str">
        <f t="shared" si="514"/>
        <v>-</v>
      </c>
      <c r="H2701" s="351">
        <f t="shared" si="515"/>
        <v>0</v>
      </c>
      <c r="I2701" s="537" t="str">
        <f t="shared" si="516"/>
        <v>-</v>
      </c>
      <c r="J2701" s="538">
        <f t="shared" si="517"/>
        <v>0</v>
      </c>
      <c r="K2701" s="539" t="s">
        <v>2299</v>
      </c>
      <c r="L2701" s="20"/>
    </row>
    <row r="2702" spans="1:13">
      <c r="A2702" s="14" t="s">
        <v>31</v>
      </c>
      <c r="D2702" s="18">
        <v>5</v>
      </c>
      <c r="E2702" s="26" t="str">
        <f t="shared" si="513"/>
        <v>-</v>
      </c>
      <c r="F2702" s="311"/>
      <c r="G2702" s="307" t="str">
        <f t="shared" si="514"/>
        <v>-</v>
      </c>
      <c r="H2702" s="351">
        <f t="shared" si="515"/>
        <v>0</v>
      </c>
      <c r="I2702" s="537" t="str">
        <f t="shared" si="516"/>
        <v>-</v>
      </c>
      <c r="J2702" s="538">
        <f t="shared" si="517"/>
        <v>0</v>
      </c>
      <c r="K2702" s="539" t="s">
        <v>2299</v>
      </c>
      <c r="L2702" s="20"/>
    </row>
    <row r="2703" spans="1:13">
      <c r="A2703" s="14" t="s">
        <v>31</v>
      </c>
      <c r="D2703" s="18">
        <v>6</v>
      </c>
      <c r="E2703" s="26" t="str">
        <f t="shared" si="513"/>
        <v>-</v>
      </c>
      <c r="F2703" s="311"/>
      <c r="G2703" s="307" t="str">
        <f t="shared" si="514"/>
        <v>-</v>
      </c>
      <c r="H2703" s="351">
        <f t="shared" si="515"/>
        <v>0</v>
      </c>
      <c r="I2703" s="537" t="str">
        <f t="shared" si="516"/>
        <v>-</v>
      </c>
      <c r="J2703" s="538">
        <f t="shared" si="517"/>
        <v>0</v>
      </c>
      <c r="K2703" s="539" t="s">
        <v>2299</v>
      </c>
      <c r="L2703" s="20"/>
    </row>
    <row r="2704" spans="1:13">
      <c r="A2704" s="14" t="s">
        <v>31</v>
      </c>
      <c r="D2704" s="18">
        <v>7</v>
      </c>
      <c r="E2704" s="26" t="str">
        <f t="shared" si="513"/>
        <v>-</v>
      </c>
      <c r="F2704" s="311"/>
      <c r="G2704" s="307" t="str">
        <f t="shared" si="514"/>
        <v>-</v>
      </c>
      <c r="H2704" s="351">
        <f t="shared" si="515"/>
        <v>0</v>
      </c>
      <c r="I2704" s="537" t="str">
        <f t="shared" si="516"/>
        <v>-</v>
      </c>
      <c r="J2704" s="538">
        <f t="shared" si="517"/>
        <v>0</v>
      </c>
      <c r="K2704" s="539" t="s">
        <v>2299</v>
      </c>
      <c r="L2704" s="20"/>
    </row>
    <row r="2705" spans="1:16">
      <c r="A2705" s="14" t="s">
        <v>31</v>
      </c>
      <c r="D2705" s="18">
        <v>8</v>
      </c>
      <c r="E2705" s="26" t="str">
        <f t="shared" si="513"/>
        <v>-</v>
      </c>
      <c r="F2705" s="311"/>
      <c r="G2705" s="307" t="str">
        <f t="shared" si="514"/>
        <v>-</v>
      </c>
      <c r="H2705" s="351">
        <f t="shared" si="515"/>
        <v>0</v>
      </c>
      <c r="I2705" s="537" t="str">
        <f t="shared" si="516"/>
        <v>-</v>
      </c>
      <c r="J2705" s="538">
        <f t="shared" si="517"/>
        <v>0</v>
      </c>
      <c r="K2705" s="539" t="s">
        <v>2299</v>
      </c>
      <c r="L2705" s="20"/>
    </row>
    <row r="2706" spans="1:16">
      <c r="A2706" s="14" t="s">
        <v>31</v>
      </c>
      <c r="D2706" s="18">
        <v>9</v>
      </c>
      <c r="E2706" s="26" t="str">
        <f t="shared" si="513"/>
        <v>-</v>
      </c>
      <c r="F2706" s="311"/>
      <c r="G2706" s="307" t="str">
        <f t="shared" si="514"/>
        <v>-</v>
      </c>
      <c r="H2706" s="351">
        <f t="shared" si="515"/>
        <v>0</v>
      </c>
      <c r="I2706" s="537" t="str">
        <f t="shared" si="516"/>
        <v>-</v>
      </c>
      <c r="J2706" s="538">
        <f t="shared" si="517"/>
        <v>0</v>
      </c>
      <c r="K2706" s="539" t="s">
        <v>2299</v>
      </c>
      <c r="L2706" s="20"/>
    </row>
    <row r="2707" spans="1:16">
      <c r="A2707" s="14" t="s">
        <v>31</v>
      </c>
      <c r="D2707" s="18">
        <v>10</v>
      </c>
      <c r="E2707" s="26" t="str">
        <f t="shared" si="513"/>
        <v>-</v>
      </c>
      <c r="F2707" s="311"/>
      <c r="G2707" s="307" t="str">
        <f t="shared" si="514"/>
        <v>-</v>
      </c>
      <c r="H2707" s="351">
        <f t="shared" si="515"/>
        <v>0</v>
      </c>
      <c r="I2707" s="537" t="str">
        <f t="shared" si="516"/>
        <v>-</v>
      </c>
      <c r="J2707" s="538">
        <f t="shared" si="517"/>
        <v>0</v>
      </c>
      <c r="K2707" s="539" t="s">
        <v>2299</v>
      </c>
      <c r="L2707" s="20"/>
    </row>
    <row r="2708" spans="1:16">
      <c r="A2708" s="14" t="s">
        <v>31</v>
      </c>
      <c r="D2708" s="18">
        <v>11</v>
      </c>
      <c r="E2708" s="26" t="str">
        <f t="shared" si="513"/>
        <v>-</v>
      </c>
      <c r="F2708" s="311"/>
      <c r="G2708" s="307" t="str">
        <f t="shared" si="514"/>
        <v>-</v>
      </c>
      <c r="H2708" s="351">
        <f t="shared" si="515"/>
        <v>0</v>
      </c>
      <c r="I2708" s="537" t="str">
        <f t="shared" si="516"/>
        <v>-</v>
      </c>
      <c r="J2708" s="538">
        <f t="shared" si="517"/>
        <v>0</v>
      </c>
      <c r="K2708" s="539" t="s">
        <v>2299</v>
      </c>
      <c r="L2708" s="20"/>
    </row>
    <row r="2709" spans="1:16">
      <c r="A2709" s="14" t="s">
        <v>31</v>
      </c>
      <c r="D2709" s="18">
        <v>12</v>
      </c>
      <c r="E2709" s="26" t="str">
        <f t="shared" si="513"/>
        <v>-</v>
      </c>
      <c r="F2709" s="311"/>
      <c r="G2709" s="307" t="str">
        <f t="shared" si="514"/>
        <v>-</v>
      </c>
      <c r="H2709" s="352">
        <f t="shared" si="515"/>
        <v>0</v>
      </c>
      <c r="I2709" s="537" t="str">
        <f t="shared" si="516"/>
        <v>-</v>
      </c>
      <c r="J2709" s="538">
        <f t="shared" si="517"/>
        <v>0</v>
      </c>
      <c r="K2709" s="539" t="s">
        <v>2299</v>
      </c>
      <c r="L2709" s="20"/>
    </row>
    <row r="2710" spans="1:16">
      <c r="A2710" s="14" t="s">
        <v>31</v>
      </c>
      <c r="D2710" s="18">
        <v>13</v>
      </c>
      <c r="E2710" s="26" t="str">
        <f t="shared" si="513"/>
        <v>-</v>
      </c>
      <c r="F2710" s="311"/>
      <c r="G2710" s="307" t="str">
        <f t="shared" si="514"/>
        <v>-</v>
      </c>
      <c r="H2710" s="352">
        <f t="shared" si="515"/>
        <v>0</v>
      </c>
      <c r="I2710" s="537" t="str">
        <f t="shared" si="516"/>
        <v>-</v>
      </c>
      <c r="J2710" s="538">
        <f t="shared" si="517"/>
        <v>0</v>
      </c>
      <c r="K2710" s="539" t="s">
        <v>2299</v>
      </c>
      <c r="L2710" s="20"/>
    </row>
    <row r="2711" spans="1:16">
      <c r="A2711" s="14" t="s">
        <v>31</v>
      </c>
      <c r="D2711" s="18">
        <v>14</v>
      </c>
      <c r="E2711" s="26" t="str">
        <f t="shared" si="513"/>
        <v>-</v>
      </c>
      <c r="F2711" s="311"/>
      <c r="G2711" s="307" t="str">
        <f t="shared" si="514"/>
        <v>-</v>
      </c>
      <c r="H2711" s="352">
        <f t="shared" si="515"/>
        <v>0</v>
      </c>
      <c r="I2711" s="537" t="str">
        <f t="shared" si="516"/>
        <v>-</v>
      </c>
      <c r="J2711" s="538">
        <f t="shared" si="517"/>
        <v>0</v>
      </c>
      <c r="K2711" s="539" t="s">
        <v>2299</v>
      </c>
      <c r="L2711" s="20"/>
    </row>
    <row r="2712" spans="1:16">
      <c r="A2712" s="14" t="s">
        <v>31</v>
      </c>
      <c r="D2712" s="18">
        <v>15</v>
      </c>
      <c r="E2712" s="26" t="str">
        <f t="shared" si="513"/>
        <v>-</v>
      </c>
      <c r="F2712" s="311"/>
      <c r="G2712" s="307" t="str">
        <f t="shared" si="514"/>
        <v>-</v>
      </c>
      <c r="H2712" s="352">
        <f t="shared" si="515"/>
        <v>0</v>
      </c>
      <c r="I2712" s="537" t="str">
        <f t="shared" si="516"/>
        <v>-</v>
      </c>
      <c r="J2712" s="538">
        <f t="shared" si="517"/>
        <v>0</v>
      </c>
      <c r="K2712" s="539" t="s">
        <v>2299</v>
      </c>
      <c r="L2712" s="20"/>
    </row>
    <row r="2713" spans="1:16">
      <c r="A2713" s="14" t="s">
        <v>31</v>
      </c>
      <c r="D2713" s="18">
        <v>16</v>
      </c>
      <c r="E2713" s="26" t="str">
        <f t="shared" si="513"/>
        <v>-</v>
      </c>
      <c r="F2713" s="311"/>
      <c r="G2713" s="307" t="str">
        <f t="shared" si="514"/>
        <v>-</v>
      </c>
      <c r="H2713" s="352">
        <f t="shared" si="515"/>
        <v>0</v>
      </c>
      <c r="I2713" s="537" t="str">
        <f t="shared" si="516"/>
        <v>-</v>
      </c>
      <c r="J2713" s="538">
        <f t="shared" si="517"/>
        <v>0</v>
      </c>
      <c r="K2713" s="539" t="s">
        <v>2299</v>
      </c>
      <c r="L2713" s="20"/>
    </row>
    <row r="2714" spans="1:16">
      <c r="A2714" s="14" t="s">
        <v>31</v>
      </c>
      <c r="D2714" s="18">
        <v>17</v>
      </c>
      <c r="E2714" s="26" t="str">
        <f t="shared" si="513"/>
        <v>-</v>
      </c>
      <c r="F2714" s="311"/>
      <c r="G2714" s="307" t="str">
        <f t="shared" si="514"/>
        <v>-</v>
      </c>
      <c r="H2714" s="352">
        <f t="shared" si="515"/>
        <v>0</v>
      </c>
      <c r="I2714" s="537" t="str">
        <f t="shared" si="516"/>
        <v>-</v>
      </c>
      <c r="J2714" s="538">
        <f t="shared" si="517"/>
        <v>0</v>
      </c>
      <c r="K2714" s="539" t="s">
        <v>2299</v>
      </c>
      <c r="L2714" s="20"/>
    </row>
    <row r="2715" spans="1:16">
      <c r="A2715" s="14" t="s">
        <v>31</v>
      </c>
      <c r="D2715" s="18">
        <v>18</v>
      </c>
      <c r="E2715" s="26" t="str">
        <f t="shared" si="513"/>
        <v>-</v>
      </c>
      <c r="F2715" s="311"/>
      <c r="G2715" s="307" t="str">
        <f t="shared" si="514"/>
        <v>-</v>
      </c>
      <c r="H2715" s="352">
        <f t="shared" si="515"/>
        <v>0</v>
      </c>
      <c r="I2715" s="537" t="str">
        <f t="shared" si="516"/>
        <v>-</v>
      </c>
      <c r="J2715" s="538">
        <f t="shared" si="517"/>
        <v>0</v>
      </c>
      <c r="K2715" s="539" t="s">
        <v>2299</v>
      </c>
      <c r="L2715" s="20"/>
    </row>
    <row r="2716" spans="1:16">
      <c r="A2716" s="14" t="s">
        <v>31</v>
      </c>
      <c r="D2716" s="18">
        <v>19</v>
      </c>
      <c r="E2716" s="26" t="str">
        <f t="shared" si="513"/>
        <v>-</v>
      </c>
      <c r="F2716" s="311"/>
      <c r="G2716" s="307" t="str">
        <f t="shared" si="514"/>
        <v>-</v>
      </c>
      <c r="H2716" s="352">
        <f t="shared" si="515"/>
        <v>0</v>
      </c>
      <c r="I2716" s="537" t="str">
        <f t="shared" si="516"/>
        <v>-</v>
      </c>
      <c r="J2716" s="538">
        <f t="shared" si="517"/>
        <v>0</v>
      </c>
      <c r="K2716" s="539" t="s">
        <v>2299</v>
      </c>
      <c r="L2716" s="20"/>
    </row>
    <row r="2717" spans="1:16">
      <c r="A2717" s="14" t="s">
        <v>31</v>
      </c>
      <c r="D2717" s="18">
        <v>20</v>
      </c>
      <c r="E2717" s="26" t="str">
        <f t="shared" si="513"/>
        <v>-</v>
      </c>
      <c r="F2717" s="311"/>
      <c r="G2717" s="307" t="str">
        <f t="shared" si="514"/>
        <v>-</v>
      </c>
      <c r="H2717" s="352">
        <f t="shared" si="515"/>
        <v>0</v>
      </c>
      <c r="I2717" s="537" t="str">
        <f t="shared" si="516"/>
        <v>-</v>
      </c>
      <c r="J2717" s="541">
        <f t="shared" si="517"/>
        <v>0</v>
      </c>
      <c r="K2717" s="539" t="s">
        <v>2299</v>
      </c>
      <c r="L2717" s="20"/>
    </row>
    <row r="2718" spans="1:16">
      <c r="A2718" s="14">
        <f>A2685+1</f>
        <v>58</v>
      </c>
      <c r="B2718" s="14" t="str">
        <f>"MA" &amp; TEXT(A2718,"##000")</f>
        <v>MA058</v>
      </c>
      <c r="D2718" s="18"/>
      <c r="E2718" s="591" t="s">
        <v>2302</v>
      </c>
      <c r="F2718" s="592"/>
      <c r="G2718" s="592"/>
      <c r="H2718" s="592"/>
      <c r="I2718" s="328"/>
      <c r="J2718" s="353">
        <f>SUM(J2698:J2717)</f>
        <v>3490</v>
      </c>
      <c r="K2718" s="365" t="str">
        <f>+F2695</f>
        <v>ud</v>
      </c>
      <c r="L2718" s="20"/>
      <c r="O2718" s="27" t="s">
        <v>1525</v>
      </c>
      <c r="P2718" s="110">
        <f>15*3</f>
        <v>45</v>
      </c>
    </row>
    <row r="2719" spans="1:16">
      <c r="D2719" s="18"/>
      <c r="E2719" s="593" t="s">
        <v>100</v>
      </c>
      <c r="F2719" s="594"/>
      <c r="G2719" s="594"/>
      <c r="H2719" s="594"/>
      <c r="I2719" s="594"/>
      <c r="J2719" s="595"/>
      <c r="K2719" s="347"/>
      <c r="L2719" s="20"/>
      <c r="O2719" s="27" t="s">
        <v>1524</v>
      </c>
      <c r="P2719" s="110">
        <v>0</v>
      </c>
    </row>
    <row r="2720" spans="1:16">
      <c r="A2720" s="14" t="s">
        <v>84</v>
      </c>
      <c r="D2720" s="18">
        <v>1</v>
      </c>
      <c r="E2720" s="26" t="str">
        <f>VLOOKUP($A2720,MATMO,2,FALSE)</f>
        <v>Oficial</v>
      </c>
      <c r="F2720" s="311">
        <v>0.5</v>
      </c>
      <c r="G2720" s="307" t="str">
        <f>VLOOKUP($A2720,MATMO,3,FALSE)</f>
        <v>hs</v>
      </c>
      <c r="H2720" s="110">
        <f>VLOOKUP($A2720,MATMO,4,FALSE)*$Q$7</f>
        <v>55.38</v>
      </c>
      <c r="I2720" s="354" t="str">
        <f t="shared" ref="I2720:I2724" si="518">+G2720</f>
        <v>hs</v>
      </c>
      <c r="J2720" s="350">
        <f t="shared" ref="J2720:J2724" si="519">+H2720*F2720</f>
        <v>27.69</v>
      </c>
      <c r="K2720" s="360" t="s">
        <v>2299</v>
      </c>
      <c r="L2720" s="20"/>
      <c r="M2720" s="14" t="s">
        <v>2006</v>
      </c>
      <c r="O2720" s="27" t="s">
        <v>1526</v>
      </c>
      <c r="P2720" s="110">
        <v>0</v>
      </c>
    </row>
    <row r="2721" spans="1:19">
      <c r="A2721" s="14" t="s">
        <v>85</v>
      </c>
      <c r="D2721" s="18">
        <v>2</v>
      </c>
      <c r="E2721" s="26" t="str">
        <f>VLOOKUP($A2721,MATMO,2,FALSE)</f>
        <v>Ayudante</v>
      </c>
      <c r="F2721" s="311">
        <v>0.3</v>
      </c>
      <c r="G2721" s="307" t="str">
        <f>VLOOKUP($A2721,MATMO,3,FALSE)</f>
        <v>hs</v>
      </c>
      <c r="H2721" s="110">
        <f>VLOOKUP($A2721,MATMO,4,FALSE)*$Q$7</f>
        <v>46.87</v>
      </c>
      <c r="I2721" s="354" t="str">
        <f t="shared" si="518"/>
        <v>hs</v>
      </c>
      <c r="J2721" s="350">
        <f t="shared" si="519"/>
        <v>14.060999999999998</v>
      </c>
      <c r="K2721" s="360" t="s">
        <v>2299</v>
      </c>
      <c r="L2721" s="20"/>
      <c r="O2721" s="27" t="s">
        <v>1527</v>
      </c>
      <c r="P2721" s="110">
        <v>0</v>
      </c>
    </row>
    <row r="2722" spans="1:19">
      <c r="A2722" s="14" t="s">
        <v>2311</v>
      </c>
      <c r="D2722" s="18">
        <v>3</v>
      </c>
      <c r="E2722" s="26" t="str">
        <f>VLOOKUP($A2722,MATMO,2,FALSE)</f>
        <v>Cargas Sociales Oficial</v>
      </c>
      <c r="F2722" s="311">
        <f>+F2720</f>
        <v>0.5</v>
      </c>
      <c r="G2722" s="307" t="str">
        <f>VLOOKUP($A2722,MATMO,3,FALSE)</f>
        <v>hs</v>
      </c>
      <c r="H2722" s="110">
        <f>VLOOKUP($A2722,MATMO,4,FALSE)*$Q$7</f>
        <v>52.742782499999997</v>
      </c>
      <c r="I2722" s="354" t="str">
        <f t="shared" si="518"/>
        <v>hs</v>
      </c>
      <c r="J2722" s="350">
        <f t="shared" si="519"/>
        <v>26.371391249999999</v>
      </c>
      <c r="K2722" s="360" t="s">
        <v>2299</v>
      </c>
      <c r="L2722" s="20"/>
      <c r="O2722" s="27"/>
      <c r="P2722" s="110">
        <v>0</v>
      </c>
    </row>
    <row r="2723" spans="1:19">
      <c r="A2723" s="14" t="s">
        <v>2312</v>
      </c>
      <c r="D2723" s="18">
        <v>4</v>
      </c>
      <c r="E2723" s="26" t="str">
        <f>VLOOKUP($A2723,MATMO,2,FALSE)</f>
        <v>Cargas Sociales Ayudante</v>
      </c>
      <c r="F2723" s="311">
        <f>+F2721</f>
        <v>0.3</v>
      </c>
      <c r="G2723" s="307" t="str">
        <f>VLOOKUP($A2723,MATMO,3,FALSE)</f>
        <v>hs</v>
      </c>
      <c r="H2723" s="110">
        <f>VLOOKUP($A2723,MATMO,4,FALSE)*$Q$7</f>
        <v>45.108248750000001</v>
      </c>
      <c r="I2723" s="354" t="str">
        <f t="shared" si="518"/>
        <v>hs</v>
      </c>
      <c r="J2723" s="350">
        <f t="shared" si="519"/>
        <v>13.532474625000001</v>
      </c>
      <c r="K2723" s="360" t="s">
        <v>2299</v>
      </c>
      <c r="L2723" s="20"/>
      <c r="O2723" s="27"/>
      <c r="P2723" s="110">
        <v>0</v>
      </c>
    </row>
    <row r="2724" spans="1:19" ht="16.5" thickBot="1">
      <c r="A2724" s="14" t="s">
        <v>83</v>
      </c>
      <c r="D2724" s="18">
        <v>5</v>
      </c>
      <c r="E2724" s="26" t="str">
        <f>VLOOKUP($A2724,MATMO,2,FALSE)</f>
        <v>-</v>
      </c>
      <c r="F2724" s="311"/>
      <c r="G2724" s="307" t="str">
        <f>VLOOKUP($A2724,MATMO,3,FALSE)</f>
        <v>-</v>
      </c>
      <c r="H2724" s="110">
        <f>VLOOKUP($A2724,MATMO,4,FALSE)*$Q$7</f>
        <v>0</v>
      </c>
      <c r="I2724" s="537" t="str">
        <f t="shared" si="518"/>
        <v>-</v>
      </c>
      <c r="J2724" s="538">
        <f t="shared" si="519"/>
        <v>0</v>
      </c>
      <c r="K2724" s="539" t="s">
        <v>2299</v>
      </c>
      <c r="L2724" s="20"/>
      <c r="O2724" s="27"/>
      <c r="P2724" s="110">
        <v>0</v>
      </c>
      <c r="R2724" s="29" t="s">
        <v>2307</v>
      </c>
    </row>
    <row r="2725" spans="1:19" ht="16.5" thickBot="1">
      <c r="A2725" s="14">
        <f>A2685+1</f>
        <v>58</v>
      </c>
      <c r="B2725" s="14" t="str">
        <f>"MO" &amp; TEXT(A2725,"##000")</f>
        <v>MO058</v>
      </c>
      <c r="D2725" s="18"/>
      <c r="E2725" s="591" t="s">
        <v>2301</v>
      </c>
      <c r="F2725" s="592"/>
      <c r="G2725" s="592"/>
      <c r="H2725" s="592"/>
      <c r="I2725" s="328"/>
      <c r="J2725" s="362">
        <f>SUM(J2720:J2724)</f>
        <v>81.654865874999999</v>
      </c>
      <c r="K2725" s="365" t="str">
        <f>+G2720</f>
        <v>hs</v>
      </c>
      <c r="L2725" s="20"/>
      <c r="N2725" s="111">
        <f>+P2725+R2725</f>
        <v>85.5</v>
      </c>
      <c r="O2725" s="27"/>
      <c r="P2725" s="27">
        <f>SUM(P2718:P2724)</f>
        <v>45</v>
      </c>
      <c r="Q2725" s="26">
        <v>0.9</v>
      </c>
      <c r="R2725" s="287">
        <f>+Q2725*P2725</f>
        <v>40.5</v>
      </c>
      <c r="S2725" s="288"/>
    </row>
    <row r="2726" spans="1:19">
      <c r="D2726" s="18"/>
      <c r="E2726" s="593" t="s">
        <v>101</v>
      </c>
      <c r="F2726" s="594"/>
      <c r="G2726" s="594"/>
      <c r="H2726" s="594"/>
      <c r="I2726" s="594"/>
      <c r="J2726" s="595"/>
      <c r="K2726" s="347"/>
      <c r="L2726" s="20"/>
      <c r="P2726" s="14" t="s">
        <v>2308</v>
      </c>
    </row>
    <row r="2727" spans="1:19">
      <c r="A2727" s="14" t="s">
        <v>119</v>
      </c>
      <c r="D2727" s="18">
        <v>1</v>
      </c>
      <c r="E2727" s="26" t="str">
        <f>VLOOKUP($A2727,MATMO,2,FALSE)</f>
        <v>Herramientas de Mano</v>
      </c>
      <c r="F2727" s="311">
        <v>1</v>
      </c>
      <c r="G2727" s="307" t="str">
        <f>VLOOKUP($A2727,MATMO,3,FALSE)</f>
        <v>gl</v>
      </c>
      <c r="H2727" s="110">
        <f>+(J2718+J2725)*$Q$5</f>
        <v>142.866194635</v>
      </c>
      <c r="I2727" s="345" t="str">
        <f>+G2727</f>
        <v>gl</v>
      </c>
      <c r="J2727" s="350">
        <f t="shared" ref="J2727:J2731" si="520">+H2727*F2727</f>
        <v>142.866194635</v>
      </c>
      <c r="K2727" s="360" t="s">
        <v>2299</v>
      </c>
      <c r="L2727" s="20"/>
      <c r="M2727" s="14" t="s">
        <v>2004</v>
      </c>
    </row>
    <row r="2728" spans="1:19">
      <c r="A2728" s="14" t="s">
        <v>118</v>
      </c>
      <c r="D2728" s="18">
        <v>2</v>
      </c>
      <c r="E2728" s="26" t="str">
        <f>VLOOKUP($A2728,MATMO,2,FALSE)</f>
        <v>-</v>
      </c>
      <c r="F2728" s="311"/>
      <c r="G2728" s="307" t="str">
        <f>VLOOKUP($A2728,MATMO,3,FALSE)</f>
        <v>-</v>
      </c>
      <c r="H2728" s="110">
        <f>VLOOKUP($A2728,MATMO,4,FALSE)*$Q$6</f>
        <v>0</v>
      </c>
      <c r="I2728" s="543" t="str">
        <f t="shared" ref="I2728:I2731" si="521">+G2728</f>
        <v>-</v>
      </c>
      <c r="J2728" s="538">
        <f t="shared" si="520"/>
        <v>0</v>
      </c>
      <c r="K2728" s="539" t="s">
        <v>2299</v>
      </c>
      <c r="L2728" s="20"/>
    </row>
    <row r="2729" spans="1:19">
      <c r="A2729" s="14" t="s">
        <v>118</v>
      </c>
      <c r="D2729" s="18">
        <v>3</v>
      </c>
      <c r="E2729" s="26" t="str">
        <f>VLOOKUP($A2729,MATMO,2,FALSE)</f>
        <v>-</v>
      </c>
      <c r="F2729" s="311"/>
      <c r="G2729" s="307" t="str">
        <f>VLOOKUP($A2729,MATMO,3,FALSE)</f>
        <v>-</v>
      </c>
      <c r="H2729" s="110">
        <f>VLOOKUP($A2729,MATMO,4,FALSE)*$Q$6</f>
        <v>0</v>
      </c>
      <c r="I2729" s="543" t="str">
        <f t="shared" si="521"/>
        <v>-</v>
      </c>
      <c r="J2729" s="538">
        <f t="shared" si="520"/>
        <v>0</v>
      </c>
      <c r="K2729" s="539" t="s">
        <v>2299</v>
      </c>
      <c r="L2729" s="20"/>
    </row>
    <row r="2730" spans="1:19">
      <c r="A2730" s="14" t="s">
        <v>118</v>
      </c>
      <c r="D2730" s="18">
        <v>4</v>
      </c>
      <c r="E2730" s="26" t="str">
        <f>VLOOKUP($A2730,MATMO,2,FALSE)</f>
        <v>-</v>
      </c>
      <c r="F2730" s="311"/>
      <c r="G2730" s="307" t="str">
        <f>VLOOKUP($A2730,MATMO,3,FALSE)</f>
        <v>-</v>
      </c>
      <c r="H2730" s="110">
        <f>VLOOKUP($A2730,MATMO,4,FALSE)*$Q$6</f>
        <v>0</v>
      </c>
      <c r="I2730" s="543" t="str">
        <f t="shared" si="521"/>
        <v>-</v>
      </c>
      <c r="J2730" s="538">
        <f t="shared" si="520"/>
        <v>0</v>
      </c>
      <c r="K2730" s="539" t="s">
        <v>2299</v>
      </c>
      <c r="L2730" s="20"/>
    </row>
    <row r="2731" spans="1:19">
      <c r="A2731" s="14" t="s">
        <v>118</v>
      </c>
      <c r="D2731" s="18">
        <v>5</v>
      </c>
      <c r="E2731" s="26" t="str">
        <f>VLOOKUP($A2731,MATMO,2,FALSE)</f>
        <v>-</v>
      </c>
      <c r="F2731" s="311"/>
      <c r="G2731" s="307" t="str">
        <f>VLOOKUP($A2731,MATMO,3,FALSE)</f>
        <v>-</v>
      </c>
      <c r="H2731" s="110">
        <f>VLOOKUP($A2731,MATMO,4,FALSE)*$Q$6</f>
        <v>0</v>
      </c>
      <c r="I2731" s="543" t="str">
        <f t="shared" si="521"/>
        <v>-</v>
      </c>
      <c r="J2731" s="538">
        <f t="shared" si="520"/>
        <v>0</v>
      </c>
      <c r="K2731" s="539" t="s">
        <v>2299</v>
      </c>
      <c r="L2731" s="20"/>
    </row>
    <row r="2732" spans="1:19">
      <c r="A2732" s="14">
        <f>A2685+1</f>
        <v>58</v>
      </c>
      <c r="B2732" s="14" t="str">
        <f>"E" &amp; TEXT(A2732,"##000")</f>
        <v>E058</v>
      </c>
      <c r="D2732" s="18"/>
      <c r="E2732" s="591" t="s">
        <v>2300</v>
      </c>
      <c r="F2732" s="592"/>
      <c r="G2732" s="592"/>
      <c r="H2732" s="592"/>
      <c r="I2732" s="328"/>
      <c r="J2732" s="362">
        <f>SUM(J2727:J2731)</f>
        <v>142.866194635</v>
      </c>
      <c r="K2732" s="365" t="s">
        <v>116</v>
      </c>
      <c r="L2732" s="20"/>
    </row>
    <row r="2733" spans="1:19">
      <c r="D2733" s="18"/>
      <c r="E2733" s="596"/>
      <c r="F2733" s="597"/>
      <c r="G2733" s="597"/>
      <c r="H2733" s="597"/>
      <c r="I2733" s="597"/>
      <c r="J2733" s="598"/>
      <c r="K2733" s="348"/>
      <c r="L2733" s="20"/>
    </row>
    <row r="2734" spans="1:19">
      <c r="D2734" s="18"/>
      <c r="E2734" s="591" t="s">
        <v>2306</v>
      </c>
      <c r="F2734" s="592"/>
      <c r="G2734" s="592"/>
      <c r="H2734" s="592"/>
      <c r="I2734" s="328"/>
      <c r="J2734" s="308">
        <f>+J2732+J2725+J2718</f>
        <v>3714.5210605100001</v>
      </c>
      <c r="K2734" s="365" t="str">
        <f>+F2695</f>
        <v>ud</v>
      </c>
      <c r="L2734" s="20"/>
    </row>
    <row r="2735" spans="1:19">
      <c r="D2735" s="18"/>
      <c r="E2735" s="591" t="s">
        <v>2305</v>
      </c>
      <c r="F2735" s="592"/>
      <c r="G2735" s="592"/>
      <c r="H2735" s="592"/>
      <c r="I2735" s="406">
        <f>+$Q$9</f>
        <v>1.6902999999999999</v>
      </c>
      <c r="J2735" s="308">
        <f>+$Q$9*J2734</f>
        <v>6278.6549485800524</v>
      </c>
      <c r="K2735" s="365" t="str">
        <f>+F2695</f>
        <v>ud</v>
      </c>
      <c r="L2735" s="20"/>
    </row>
    <row r="2736" spans="1:19">
      <c r="A2736" s="14">
        <f>A2689+1</f>
        <v>58</v>
      </c>
      <c r="B2736" s="14" t="str">
        <f>"TR" &amp; TEXT(A2736,"##000")</f>
        <v>TR058</v>
      </c>
      <c r="C2736" s="14">
        <f>+C2689+1</f>
        <v>58</v>
      </c>
      <c r="D2736" s="18"/>
      <c r="E2736" s="591" t="s">
        <v>2304</v>
      </c>
      <c r="F2736" s="592"/>
      <c r="G2736" s="592"/>
      <c r="H2736" s="592"/>
      <c r="I2736" s="328"/>
      <c r="J2736" s="308">
        <f>+J2735</f>
        <v>6278.6549485800524</v>
      </c>
      <c r="K2736" s="365" t="str">
        <f>+F2695</f>
        <v>ud</v>
      </c>
      <c r="L2736" s="20"/>
    </row>
    <row r="2737" spans="1:13" ht="16.5" thickBot="1">
      <c r="D2737" s="21"/>
      <c r="E2737" s="30"/>
      <c r="F2737" s="30"/>
      <c r="G2737" s="30"/>
      <c r="H2737" s="30"/>
      <c r="I2737" s="30"/>
      <c r="J2737" s="30"/>
      <c r="K2737" s="349"/>
      <c r="L2737" s="22"/>
    </row>
    <row r="2738" spans="1:13" ht="16.5" thickTop="1">
      <c r="D2738" s="15"/>
      <c r="E2738" s="16"/>
      <c r="F2738" s="16"/>
      <c r="G2738" s="16"/>
      <c r="H2738" s="16"/>
      <c r="I2738" s="16"/>
      <c r="J2738" s="16"/>
      <c r="K2738" s="16"/>
      <c r="L2738" s="17"/>
    </row>
    <row r="2739" spans="1:13">
      <c r="A2739" s="14" t="s">
        <v>2043</v>
      </c>
      <c r="D2739" s="18"/>
      <c r="E2739" s="23" t="s">
        <v>95</v>
      </c>
      <c r="F2739" s="364" t="str">
        <f>VLOOKUP($A2739,DATRUB,3,FALSE)</f>
        <v>RUBRO XV:</v>
      </c>
      <c r="G2739" s="599" t="str">
        <f>VLOOKUP($A2739,DATRUB,4,FALSE)</f>
        <v>SEGURIDAD</v>
      </c>
      <c r="H2739" s="599"/>
      <c r="I2739" s="599"/>
      <c r="J2739" s="599"/>
      <c r="K2739" s="599"/>
      <c r="L2739" s="20"/>
    </row>
    <row r="2740" spans="1:13" ht="35.1" customHeight="1">
      <c r="A2740" s="14" t="s">
        <v>2045</v>
      </c>
      <c r="D2740" s="18"/>
      <c r="E2740" s="23" t="s">
        <v>96</v>
      </c>
      <c r="F2740" s="399">
        <f>VLOOKUP($A2740,DATRUB,3,FALSE)</f>
        <v>15.2</v>
      </c>
      <c r="G2740" s="599" t="str">
        <f>VLOOKUP($A2740,DATRUB,4,FALSE)</f>
        <v>CONTRA INCENDIO - Iluminacion de emergencia</v>
      </c>
      <c r="H2740" s="599"/>
      <c r="I2740" s="599"/>
      <c r="J2740" s="599"/>
      <c r="K2740" s="599"/>
      <c r="L2740" s="20"/>
    </row>
    <row r="2741" spans="1:13" ht="35.1" customHeight="1">
      <c r="A2741" s="14" t="s">
        <v>2045</v>
      </c>
      <c r="D2741" s="18"/>
      <c r="E2741" s="23" t="s">
        <v>97</v>
      </c>
      <c r="F2741" s="399">
        <f>VLOOKUP($A2741,DATRUB,3,FALSE)</f>
        <v>15.2</v>
      </c>
      <c r="G2741" s="599" t="str">
        <f>VLOOKUP($A2741,DATRUB,4,FALSE)</f>
        <v>CONTRA INCENDIO - Iluminacion de emergencia</v>
      </c>
      <c r="H2741" s="599"/>
      <c r="I2741" s="599"/>
      <c r="J2741" s="599"/>
      <c r="K2741" s="599"/>
      <c r="L2741" s="20"/>
    </row>
    <row r="2742" spans="1:13">
      <c r="D2742" s="18"/>
      <c r="E2742" s="23" t="s">
        <v>98</v>
      </c>
      <c r="F2742" s="364" t="str">
        <f>VLOOKUP($A2741,DATRUB,5,FALSE)</f>
        <v>gl</v>
      </c>
      <c r="G2742" s="600"/>
      <c r="H2742" s="600"/>
      <c r="I2742" s="600"/>
      <c r="J2742" s="600"/>
      <c r="K2742" s="600"/>
      <c r="L2742" s="20"/>
    </row>
    <row r="2743" spans="1:13">
      <c r="D2743" s="18"/>
      <c r="E2743" s="364" t="s">
        <v>1158</v>
      </c>
      <c r="F2743" s="363" t="s">
        <v>1250</v>
      </c>
      <c r="G2743" s="364" t="s">
        <v>24</v>
      </c>
      <c r="H2743" s="364" t="s">
        <v>25</v>
      </c>
      <c r="I2743" s="364" t="s">
        <v>24</v>
      </c>
      <c r="J2743" s="364" t="s">
        <v>2298</v>
      </c>
      <c r="K2743" s="364" t="s">
        <v>24</v>
      </c>
      <c r="L2743" s="20"/>
    </row>
    <row r="2744" spans="1:13">
      <c r="D2744" s="18"/>
      <c r="E2744" s="593" t="s">
        <v>99</v>
      </c>
      <c r="F2744" s="594"/>
      <c r="G2744" s="594"/>
      <c r="H2744" s="594"/>
      <c r="I2744" s="594"/>
      <c r="J2744" s="594"/>
      <c r="K2744" s="595"/>
      <c r="L2744" s="20"/>
    </row>
    <row r="2745" spans="1:13">
      <c r="A2745" s="14" t="s">
        <v>2493</v>
      </c>
      <c r="D2745" s="18">
        <v>1</v>
      </c>
      <c r="E2745" s="355" t="str">
        <f t="shared" ref="E2745:E2764" si="522">VLOOKUP($A2745,MATMO,2,FALSE)</f>
        <v>Luz Emergencia 60 Led</v>
      </c>
      <c r="F2745" s="356">
        <v>7</v>
      </c>
      <c r="G2745" s="357" t="str">
        <f t="shared" ref="G2745:G2764" si="523">VLOOKUP($A2745,MATMO,3,FALSE)</f>
        <v>u</v>
      </c>
      <c r="H2745" s="358">
        <f t="shared" ref="H2745:H2764" si="524">VLOOKUP($A2745,MATMO,4,FALSE)*$Q$6</f>
        <v>550</v>
      </c>
      <c r="I2745" s="359" t="str">
        <f t="shared" ref="I2745:I2764" si="525">+G2745</f>
        <v>u</v>
      </c>
      <c r="J2745" s="361">
        <f>+H2745*F2745</f>
        <v>3850</v>
      </c>
      <c r="K2745" s="360" t="s">
        <v>2299</v>
      </c>
      <c r="L2745" s="20"/>
      <c r="M2745" s="14" t="s">
        <v>2005</v>
      </c>
    </row>
    <row r="2746" spans="1:13">
      <c r="A2746" s="14" t="s">
        <v>2494</v>
      </c>
      <c r="D2746" s="18">
        <v>2</v>
      </c>
      <c r="E2746" s="26" t="str">
        <f t="shared" si="522"/>
        <v>Detector de Humo</v>
      </c>
      <c r="F2746" s="311">
        <v>8</v>
      </c>
      <c r="G2746" s="307" t="str">
        <f t="shared" si="523"/>
        <v>u</v>
      </c>
      <c r="H2746" s="351">
        <f t="shared" si="524"/>
        <v>620</v>
      </c>
      <c r="I2746" s="354" t="str">
        <f t="shared" si="525"/>
        <v>u</v>
      </c>
      <c r="J2746" s="350">
        <f t="shared" ref="J2746:J2764" si="526">+H2746*F2746</f>
        <v>4960</v>
      </c>
      <c r="K2746" s="360" t="s">
        <v>2299</v>
      </c>
      <c r="L2746" s="20"/>
    </row>
    <row r="2747" spans="1:13">
      <c r="A2747" s="14" t="s">
        <v>31</v>
      </c>
      <c r="D2747" s="18">
        <v>3</v>
      </c>
      <c r="E2747" s="26" t="str">
        <f t="shared" si="522"/>
        <v>-</v>
      </c>
      <c r="F2747" s="311"/>
      <c r="G2747" s="307" t="str">
        <f t="shared" si="523"/>
        <v>-</v>
      </c>
      <c r="H2747" s="351">
        <f t="shared" si="524"/>
        <v>0</v>
      </c>
      <c r="I2747" s="537" t="str">
        <f t="shared" si="525"/>
        <v>-</v>
      </c>
      <c r="J2747" s="538">
        <f t="shared" si="526"/>
        <v>0</v>
      </c>
      <c r="K2747" s="539" t="s">
        <v>2299</v>
      </c>
      <c r="L2747" s="20"/>
    </row>
    <row r="2748" spans="1:13">
      <c r="A2748" s="14" t="s">
        <v>31</v>
      </c>
      <c r="D2748" s="18">
        <v>4</v>
      </c>
      <c r="E2748" s="26" t="str">
        <f t="shared" si="522"/>
        <v>-</v>
      </c>
      <c r="F2748" s="311"/>
      <c r="G2748" s="307" t="str">
        <f t="shared" si="523"/>
        <v>-</v>
      </c>
      <c r="H2748" s="351">
        <f t="shared" si="524"/>
        <v>0</v>
      </c>
      <c r="I2748" s="537" t="str">
        <f t="shared" si="525"/>
        <v>-</v>
      </c>
      <c r="J2748" s="538">
        <f t="shared" si="526"/>
        <v>0</v>
      </c>
      <c r="K2748" s="539" t="s">
        <v>2299</v>
      </c>
      <c r="L2748" s="20"/>
    </row>
    <row r="2749" spans="1:13">
      <c r="A2749" s="14" t="s">
        <v>31</v>
      </c>
      <c r="D2749" s="18">
        <v>5</v>
      </c>
      <c r="E2749" s="26" t="str">
        <f t="shared" si="522"/>
        <v>-</v>
      </c>
      <c r="F2749" s="311"/>
      <c r="G2749" s="307" t="str">
        <f t="shared" si="523"/>
        <v>-</v>
      </c>
      <c r="H2749" s="351">
        <f t="shared" si="524"/>
        <v>0</v>
      </c>
      <c r="I2749" s="537" t="str">
        <f t="shared" si="525"/>
        <v>-</v>
      </c>
      <c r="J2749" s="538">
        <f t="shared" si="526"/>
        <v>0</v>
      </c>
      <c r="K2749" s="539" t="s">
        <v>2299</v>
      </c>
      <c r="L2749" s="20"/>
    </row>
    <row r="2750" spans="1:13">
      <c r="A2750" s="14" t="s">
        <v>31</v>
      </c>
      <c r="D2750" s="18">
        <v>6</v>
      </c>
      <c r="E2750" s="26" t="str">
        <f t="shared" si="522"/>
        <v>-</v>
      </c>
      <c r="F2750" s="311"/>
      <c r="G2750" s="307" t="str">
        <f t="shared" si="523"/>
        <v>-</v>
      </c>
      <c r="H2750" s="351">
        <f t="shared" si="524"/>
        <v>0</v>
      </c>
      <c r="I2750" s="537" t="str">
        <f t="shared" si="525"/>
        <v>-</v>
      </c>
      <c r="J2750" s="538">
        <f t="shared" si="526"/>
        <v>0</v>
      </c>
      <c r="K2750" s="539" t="s">
        <v>2299</v>
      </c>
      <c r="L2750" s="20"/>
    </row>
    <row r="2751" spans="1:13">
      <c r="A2751" s="14" t="s">
        <v>31</v>
      </c>
      <c r="D2751" s="18">
        <v>7</v>
      </c>
      <c r="E2751" s="26" t="str">
        <f t="shared" si="522"/>
        <v>-</v>
      </c>
      <c r="F2751" s="311"/>
      <c r="G2751" s="307" t="str">
        <f t="shared" si="523"/>
        <v>-</v>
      </c>
      <c r="H2751" s="351">
        <f t="shared" si="524"/>
        <v>0</v>
      </c>
      <c r="I2751" s="537" t="str">
        <f t="shared" si="525"/>
        <v>-</v>
      </c>
      <c r="J2751" s="538">
        <f t="shared" si="526"/>
        <v>0</v>
      </c>
      <c r="K2751" s="539" t="s">
        <v>2299</v>
      </c>
      <c r="L2751" s="20"/>
    </row>
    <row r="2752" spans="1:13">
      <c r="A2752" s="14" t="s">
        <v>31</v>
      </c>
      <c r="D2752" s="18">
        <v>8</v>
      </c>
      <c r="E2752" s="26" t="str">
        <f t="shared" si="522"/>
        <v>-</v>
      </c>
      <c r="F2752" s="311"/>
      <c r="G2752" s="307" t="str">
        <f t="shared" si="523"/>
        <v>-</v>
      </c>
      <c r="H2752" s="351">
        <f t="shared" si="524"/>
        <v>0</v>
      </c>
      <c r="I2752" s="537" t="str">
        <f t="shared" si="525"/>
        <v>-</v>
      </c>
      <c r="J2752" s="538">
        <f t="shared" si="526"/>
        <v>0</v>
      </c>
      <c r="K2752" s="539" t="s">
        <v>2299</v>
      </c>
      <c r="L2752" s="20"/>
    </row>
    <row r="2753" spans="1:16">
      <c r="A2753" s="14" t="s">
        <v>31</v>
      </c>
      <c r="D2753" s="18">
        <v>9</v>
      </c>
      <c r="E2753" s="26" t="str">
        <f t="shared" si="522"/>
        <v>-</v>
      </c>
      <c r="F2753" s="311"/>
      <c r="G2753" s="307" t="str">
        <f t="shared" si="523"/>
        <v>-</v>
      </c>
      <c r="H2753" s="351">
        <f t="shared" si="524"/>
        <v>0</v>
      </c>
      <c r="I2753" s="537" t="str">
        <f t="shared" si="525"/>
        <v>-</v>
      </c>
      <c r="J2753" s="538">
        <f t="shared" si="526"/>
        <v>0</v>
      </c>
      <c r="K2753" s="539" t="s">
        <v>2299</v>
      </c>
      <c r="L2753" s="20"/>
    </row>
    <row r="2754" spans="1:16">
      <c r="A2754" s="14" t="s">
        <v>31</v>
      </c>
      <c r="D2754" s="18">
        <v>10</v>
      </c>
      <c r="E2754" s="26" t="str">
        <f t="shared" si="522"/>
        <v>-</v>
      </c>
      <c r="F2754" s="311"/>
      <c r="G2754" s="307" t="str">
        <f t="shared" si="523"/>
        <v>-</v>
      </c>
      <c r="H2754" s="351">
        <f t="shared" si="524"/>
        <v>0</v>
      </c>
      <c r="I2754" s="537" t="str">
        <f t="shared" si="525"/>
        <v>-</v>
      </c>
      <c r="J2754" s="538">
        <f t="shared" si="526"/>
        <v>0</v>
      </c>
      <c r="K2754" s="539" t="s">
        <v>2299</v>
      </c>
      <c r="L2754" s="20"/>
    </row>
    <row r="2755" spans="1:16">
      <c r="A2755" s="14" t="s">
        <v>31</v>
      </c>
      <c r="D2755" s="18">
        <v>11</v>
      </c>
      <c r="E2755" s="26" t="str">
        <f t="shared" si="522"/>
        <v>-</v>
      </c>
      <c r="F2755" s="311"/>
      <c r="G2755" s="307" t="str">
        <f t="shared" si="523"/>
        <v>-</v>
      </c>
      <c r="H2755" s="351">
        <f t="shared" si="524"/>
        <v>0</v>
      </c>
      <c r="I2755" s="537" t="str">
        <f t="shared" si="525"/>
        <v>-</v>
      </c>
      <c r="J2755" s="538">
        <f t="shared" si="526"/>
        <v>0</v>
      </c>
      <c r="K2755" s="539" t="s">
        <v>2299</v>
      </c>
      <c r="L2755" s="20"/>
    </row>
    <row r="2756" spans="1:16">
      <c r="A2756" s="14" t="s">
        <v>31</v>
      </c>
      <c r="D2756" s="18">
        <v>12</v>
      </c>
      <c r="E2756" s="26" t="str">
        <f t="shared" si="522"/>
        <v>-</v>
      </c>
      <c r="F2756" s="311"/>
      <c r="G2756" s="307" t="str">
        <f t="shared" si="523"/>
        <v>-</v>
      </c>
      <c r="H2756" s="352">
        <f t="shared" si="524"/>
        <v>0</v>
      </c>
      <c r="I2756" s="537" t="str">
        <f t="shared" si="525"/>
        <v>-</v>
      </c>
      <c r="J2756" s="538">
        <f t="shared" si="526"/>
        <v>0</v>
      </c>
      <c r="K2756" s="539" t="s">
        <v>2299</v>
      </c>
      <c r="L2756" s="20"/>
    </row>
    <row r="2757" spans="1:16">
      <c r="A2757" s="14" t="s">
        <v>31</v>
      </c>
      <c r="D2757" s="18">
        <v>13</v>
      </c>
      <c r="E2757" s="26" t="str">
        <f t="shared" si="522"/>
        <v>-</v>
      </c>
      <c r="F2757" s="311"/>
      <c r="G2757" s="307" t="str">
        <f t="shared" si="523"/>
        <v>-</v>
      </c>
      <c r="H2757" s="352">
        <f t="shared" si="524"/>
        <v>0</v>
      </c>
      <c r="I2757" s="537" t="str">
        <f t="shared" si="525"/>
        <v>-</v>
      </c>
      <c r="J2757" s="538">
        <f t="shared" si="526"/>
        <v>0</v>
      </c>
      <c r="K2757" s="539" t="s">
        <v>2299</v>
      </c>
      <c r="L2757" s="20"/>
    </row>
    <row r="2758" spans="1:16">
      <c r="A2758" s="14" t="s">
        <v>31</v>
      </c>
      <c r="D2758" s="18">
        <v>14</v>
      </c>
      <c r="E2758" s="26" t="str">
        <f t="shared" si="522"/>
        <v>-</v>
      </c>
      <c r="F2758" s="311"/>
      <c r="G2758" s="307" t="str">
        <f t="shared" si="523"/>
        <v>-</v>
      </c>
      <c r="H2758" s="352">
        <f t="shared" si="524"/>
        <v>0</v>
      </c>
      <c r="I2758" s="537" t="str">
        <f t="shared" si="525"/>
        <v>-</v>
      </c>
      <c r="J2758" s="538">
        <f t="shared" si="526"/>
        <v>0</v>
      </c>
      <c r="K2758" s="539" t="s">
        <v>2299</v>
      </c>
      <c r="L2758" s="20"/>
    </row>
    <row r="2759" spans="1:16">
      <c r="A2759" s="14" t="s">
        <v>31</v>
      </c>
      <c r="D2759" s="18">
        <v>15</v>
      </c>
      <c r="E2759" s="26" t="str">
        <f t="shared" si="522"/>
        <v>-</v>
      </c>
      <c r="F2759" s="311"/>
      <c r="G2759" s="307" t="str">
        <f t="shared" si="523"/>
        <v>-</v>
      </c>
      <c r="H2759" s="352">
        <f t="shared" si="524"/>
        <v>0</v>
      </c>
      <c r="I2759" s="537" t="str">
        <f t="shared" si="525"/>
        <v>-</v>
      </c>
      <c r="J2759" s="538">
        <f t="shared" si="526"/>
        <v>0</v>
      </c>
      <c r="K2759" s="539" t="s">
        <v>2299</v>
      </c>
      <c r="L2759" s="20"/>
    </row>
    <row r="2760" spans="1:16">
      <c r="A2760" s="14" t="s">
        <v>31</v>
      </c>
      <c r="D2760" s="18">
        <v>16</v>
      </c>
      <c r="E2760" s="26" t="str">
        <f t="shared" si="522"/>
        <v>-</v>
      </c>
      <c r="F2760" s="311"/>
      <c r="G2760" s="307" t="str">
        <f t="shared" si="523"/>
        <v>-</v>
      </c>
      <c r="H2760" s="352">
        <f t="shared" si="524"/>
        <v>0</v>
      </c>
      <c r="I2760" s="537" t="str">
        <f t="shared" si="525"/>
        <v>-</v>
      </c>
      <c r="J2760" s="538">
        <f t="shared" si="526"/>
        <v>0</v>
      </c>
      <c r="K2760" s="539" t="s">
        <v>2299</v>
      </c>
      <c r="L2760" s="20"/>
    </row>
    <row r="2761" spans="1:16">
      <c r="A2761" s="14" t="s">
        <v>31</v>
      </c>
      <c r="D2761" s="18">
        <v>17</v>
      </c>
      <c r="E2761" s="26" t="str">
        <f t="shared" si="522"/>
        <v>-</v>
      </c>
      <c r="F2761" s="311"/>
      <c r="G2761" s="307" t="str">
        <f t="shared" si="523"/>
        <v>-</v>
      </c>
      <c r="H2761" s="352">
        <f t="shared" si="524"/>
        <v>0</v>
      </c>
      <c r="I2761" s="537" t="str">
        <f t="shared" si="525"/>
        <v>-</v>
      </c>
      <c r="J2761" s="538">
        <f t="shared" si="526"/>
        <v>0</v>
      </c>
      <c r="K2761" s="539" t="s">
        <v>2299</v>
      </c>
      <c r="L2761" s="20"/>
    </row>
    <row r="2762" spans="1:16">
      <c r="A2762" s="14" t="s">
        <v>31</v>
      </c>
      <c r="D2762" s="18">
        <v>18</v>
      </c>
      <c r="E2762" s="26" t="str">
        <f t="shared" si="522"/>
        <v>-</v>
      </c>
      <c r="F2762" s="311"/>
      <c r="G2762" s="307" t="str">
        <f t="shared" si="523"/>
        <v>-</v>
      </c>
      <c r="H2762" s="352">
        <f t="shared" si="524"/>
        <v>0</v>
      </c>
      <c r="I2762" s="537" t="str">
        <f t="shared" si="525"/>
        <v>-</v>
      </c>
      <c r="J2762" s="538">
        <f t="shared" si="526"/>
        <v>0</v>
      </c>
      <c r="K2762" s="539" t="s">
        <v>2299</v>
      </c>
      <c r="L2762" s="20"/>
    </row>
    <row r="2763" spans="1:16">
      <c r="A2763" s="14" t="s">
        <v>31</v>
      </c>
      <c r="D2763" s="18">
        <v>19</v>
      </c>
      <c r="E2763" s="26" t="str">
        <f t="shared" si="522"/>
        <v>-</v>
      </c>
      <c r="F2763" s="311"/>
      <c r="G2763" s="307" t="str">
        <f t="shared" si="523"/>
        <v>-</v>
      </c>
      <c r="H2763" s="352">
        <f t="shared" si="524"/>
        <v>0</v>
      </c>
      <c r="I2763" s="537" t="str">
        <f t="shared" si="525"/>
        <v>-</v>
      </c>
      <c r="J2763" s="538">
        <f t="shared" si="526"/>
        <v>0</v>
      </c>
      <c r="K2763" s="539" t="s">
        <v>2299</v>
      </c>
      <c r="L2763" s="20"/>
    </row>
    <row r="2764" spans="1:16">
      <c r="A2764" s="14" t="s">
        <v>31</v>
      </c>
      <c r="D2764" s="18">
        <v>20</v>
      </c>
      <c r="E2764" s="26" t="str">
        <f t="shared" si="522"/>
        <v>-</v>
      </c>
      <c r="F2764" s="311"/>
      <c r="G2764" s="307" t="str">
        <f t="shared" si="523"/>
        <v>-</v>
      </c>
      <c r="H2764" s="352">
        <f t="shared" si="524"/>
        <v>0</v>
      </c>
      <c r="I2764" s="537" t="str">
        <f t="shared" si="525"/>
        <v>-</v>
      </c>
      <c r="J2764" s="541">
        <f t="shared" si="526"/>
        <v>0</v>
      </c>
      <c r="K2764" s="539" t="s">
        <v>2299</v>
      </c>
      <c r="L2764" s="20"/>
    </row>
    <row r="2765" spans="1:16">
      <c r="A2765" s="14">
        <f>A2732+1</f>
        <v>59</v>
      </c>
      <c r="B2765" s="14" t="str">
        <f>"MA" &amp; TEXT(A2765,"##000")</f>
        <v>MA059</v>
      </c>
      <c r="D2765" s="18"/>
      <c r="E2765" s="591" t="s">
        <v>2302</v>
      </c>
      <c r="F2765" s="592"/>
      <c r="G2765" s="592"/>
      <c r="H2765" s="592"/>
      <c r="I2765" s="328"/>
      <c r="J2765" s="353">
        <f>SUM(J2745:J2764)</f>
        <v>8810</v>
      </c>
      <c r="K2765" s="365" t="str">
        <f>+F2742</f>
        <v>gl</v>
      </c>
      <c r="L2765" s="20"/>
      <c r="O2765" s="27" t="s">
        <v>1525</v>
      </c>
      <c r="P2765" s="110">
        <f>15*20</f>
        <v>300</v>
      </c>
    </row>
    <row r="2766" spans="1:16">
      <c r="D2766" s="18"/>
      <c r="E2766" s="593" t="s">
        <v>100</v>
      </c>
      <c r="F2766" s="594"/>
      <c r="G2766" s="594"/>
      <c r="H2766" s="594"/>
      <c r="I2766" s="594"/>
      <c r="J2766" s="595"/>
      <c r="K2766" s="347"/>
      <c r="L2766" s="20"/>
      <c r="O2766" s="27" t="s">
        <v>1524</v>
      </c>
      <c r="P2766" s="110">
        <v>0</v>
      </c>
    </row>
    <row r="2767" spans="1:16">
      <c r="A2767" s="14" t="s">
        <v>84</v>
      </c>
      <c r="D2767" s="18">
        <v>1</v>
      </c>
      <c r="E2767" s="26" t="str">
        <f>VLOOKUP($A2767,MATMO,2,FALSE)</f>
        <v>Oficial</v>
      </c>
      <c r="F2767" s="311">
        <v>4.5</v>
      </c>
      <c r="G2767" s="307" t="str">
        <f>VLOOKUP($A2767,MATMO,3,FALSE)</f>
        <v>hs</v>
      </c>
      <c r="H2767" s="110">
        <f>VLOOKUP($A2767,MATMO,4,FALSE)*$Q$7</f>
        <v>55.38</v>
      </c>
      <c r="I2767" s="354" t="str">
        <f t="shared" ref="I2767:I2771" si="527">+G2767</f>
        <v>hs</v>
      </c>
      <c r="J2767" s="350">
        <f t="shared" ref="J2767:J2771" si="528">+H2767*F2767</f>
        <v>249.21</v>
      </c>
      <c r="K2767" s="360" t="s">
        <v>2299</v>
      </c>
      <c r="L2767" s="20"/>
      <c r="M2767" s="14" t="s">
        <v>2006</v>
      </c>
      <c r="O2767" s="27" t="s">
        <v>1526</v>
      </c>
      <c r="P2767" s="110">
        <v>0</v>
      </c>
    </row>
    <row r="2768" spans="1:16">
      <c r="A2768" s="14" t="s">
        <v>85</v>
      </c>
      <c r="D2768" s="18">
        <v>2</v>
      </c>
      <c r="E2768" s="26" t="str">
        <f>VLOOKUP($A2768,MATMO,2,FALSE)</f>
        <v>Ayudante</v>
      </c>
      <c r="F2768" s="311">
        <v>1</v>
      </c>
      <c r="G2768" s="307" t="str">
        <f>VLOOKUP($A2768,MATMO,3,FALSE)</f>
        <v>hs</v>
      </c>
      <c r="H2768" s="110">
        <f>VLOOKUP($A2768,MATMO,4,FALSE)*$Q$7</f>
        <v>46.87</v>
      </c>
      <c r="I2768" s="354" t="str">
        <f t="shared" si="527"/>
        <v>hs</v>
      </c>
      <c r="J2768" s="350">
        <f t="shared" si="528"/>
        <v>46.87</v>
      </c>
      <c r="K2768" s="360" t="s">
        <v>2299</v>
      </c>
      <c r="L2768" s="20"/>
      <c r="O2768" s="27" t="s">
        <v>1527</v>
      </c>
      <c r="P2768" s="110">
        <v>0</v>
      </c>
    </row>
    <row r="2769" spans="1:19">
      <c r="A2769" s="14" t="s">
        <v>2311</v>
      </c>
      <c r="D2769" s="18">
        <v>3</v>
      </c>
      <c r="E2769" s="26" t="str">
        <f>VLOOKUP($A2769,MATMO,2,FALSE)</f>
        <v>Cargas Sociales Oficial</v>
      </c>
      <c r="F2769" s="311">
        <f>+F2767</f>
        <v>4.5</v>
      </c>
      <c r="G2769" s="307" t="str">
        <f>VLOOKUP($A2769,MATMO,3,FALSE)</f>
        <v>hs</v>
      </c>
      <c r="H2769" s="110">
        <f>VLOOKUP($A2769,MATMO,4,FALSE)*$Q$7</f>
        <v>52.742782499999997</v>
      </c>
      <c r="I2769" s="354" t="str">
        <f t="shared" si="527"/>
        <v>hs</v>
      </c>
      <c r="J2769" s="350">
        <f t="shared" si="528"/>
        <v>237.34252124999998</v>
      </c>
      <c r="K2769" s="360" t="s">
        <v>2299</v>
      </c>
      <c r="L2769" s="20"/>
      <c r="O2769" s="27"/>
      <c r="P2769" s="110">
        <v>0</v>
      </c>
    </row>
    <row r="2770" spans="1:19">
      <c r="A2770" s="14" t="s">
        <v>2312</v>
      </c>
      <c r="D2770" s="18">
        <v>4</v>
      </c>
      <c r="E2770" s="26" t="str">
        <f>VLOOKUP($A2770,MATMO,2,FALSE)</f>
        <v>Cargas Sociales Ayudante</v>
      </c>
      <c r="F2770" s="311">
        <f>+F2768</f>
        <v>1</v>
      </c>
      <c r="G2770" s="307" t="str">
        <f>VLOOKUP($A2770,MATMO,3,FALSE)</f>
        <v>hs</v>
      </c>
      <c r="H2770" s="110">
        <f>VLOOKUP($A2770,MATMO,4,FALSE)*$Q$7</f>
        <v>45.108248750000001</v>
      </c>
      <c r="I2770" s="354" t="str">
        <f t="shared" si="527"/>
        <v>hs</v>
      </c>
      <c r="J2770" s="350">
        <f t="shared" si="528"/>
        <v>45.108248750000001</v>
      </c>
      <c r="K2770" s="360" t="s">
        <v>2299</v>
      </c>
      <c r="L2770" s="20"/>
      <c r="O2770" s="27"/>
      <c r="P2770" s="110">
        <v>0</v>
      </c>
    </row>
    <row r="2771" spans="1:19" ht="16.5" thickBot="1">
      <c r="A2771" s="14" t="s">
        <v>83</v>
      </c>
      <c r="D2771" s="18">
        <v>5</v>
      </c>
      <c r="E2771" s="26" t="str">
        <f>VLOOKUP($A2771,MATMO,2,FALSE)</f>
        <v>-</v>
      </c>
      <c r="F2771" s="311"/>
      <c r="G2771" s="307" t="str">
        <f>VLOOKUP($A2771,MATMO,3,FALSE)</f>
        <v>-</v>
      </c>
      <c r="H2771" s="110">
        <f>VLOOKUP($A2771,MATMO,4,FALSE)*$Q$7</f>
        <v>0</v>
      </c>
      <c r="I2771" s="537" t="str">
        <f t="shared" si="527"/>
        <v>-</v>
      </c>
      <c r="J2771" s="538">
        <f t="shared" si="528"/>
        <v>0</v>
      </c>
      <c r="K2771" s="539" t="s">
        <v>2299</v>
      </c>
      <c r="L2771" s="20"/>
      <c r="O2771" s="27"/>
      <c r="P2771" s="110">
        <v>0</v>
      </c>
      <c r="R2771" s="29" t="s">
        <v>2307</v>
      </c>
    </row>
    <row r="2772" spans="1:19" ht="16.5" thickBot="1">
      <c r="A2772" s="14">
        <f>A2732+1</f>
        <v>59</v>
      </c>
      <c r="B2772" s="14" t="str">
        <f>"MO" &amp; TEXT(A2772,"##000")</f>
        <v>MO059</v>
      </c>
      <c r="D2772" s="18"/>
      <c r="E2772" s="591" t="s">
        <v>2301</v>
      </c>
      <c r="F2772" s="592"/>
      <c r="G2772" s="592"/>
      <c r="H2772" s="592"/>
      <c r="I2772" s="328"/>
      <c r="J2772" s="362">
        <f>SUM(J2767:J2771)</f>
        <v>578.53076999999996</v>
      </c>
      <c r="K2772" s="365" t="str">
        <f>+G2767</f>
        <v>hs</v>
      </c>
      <c r="L2772" s="20"/>
      <c r="N2772" s="111">
        <f>+P2772+R2772</f>
        <v>570</v>
      </c>
      <c r="O2772" s="27"/>
      <c r="P2772" s="27">
        <f>SUM(P2765:P2771)</f>
        <v>300</v>
      </c>
      <c r="Q2772" s="26">
        <v>0.9</v>
      </c>
      <c r="R2772" s="287">
        <f>+Q2772*P2772</f>
        <v>270</v>
      </c>
      <c r="S2772" s="288"/>
    </row>
    <row r="2773" spans="1:19">
      <c r="D2773" s="18"/>
      <c r="E2773" s="593" t="s">
        <v>101</v>
      </c>
      <c r="F2773" s="594"/>
      <c r="G2773" s="594"/>
      <c r="H2773" s="594"/>
      <c r="I2773" s="594"/>
      <c r="J2773" s="595"/>
      <c r="K2773" s="347"/>
      <c r="L2773" s="20"/>
      <c r="P2773" s="14" t="s">
        <v>2308</v>
      </c>
    </row>
    <row r="2774" spans="1:19">
      <c r="A2774" s="14" t="s">
        <v>119</v>
      </c>
      <c r="D2774" s="18">
        <v>1</v>
      </c>
      <c r="E2774" s="26" t="str">
        <f>VLOOKUP($A2774,MATMO,2,FALSE)</f>
        <v>Herramientas de Mano</v>
      </c>
      <c r="F2774" s="311">
        <v>1</v>
      </c>
      <c r="G2774" s="307" t="str">
        <f>VLOOKUP($A2774,MATMO,3,FALSE)</f>
        <v>gl</v>
      </c>
      <c r="H2774" s="110">
        <f>+(J2765+J2772)*$Q$5</f>
        <v>375.54123079999999</v>
      </c>
      <c r="I2774" s="345" t="str">
        <f>+G2774</f>
        <v>gl</v>
      </c>
      <c r="J2774" s="350">
        <f t="shared" ref="J2774:J2778" si="529">+H2774*F2774</f>
        <v>375.54123079999999</v>
      </c>
      <c r="K2774" s="360" t="s">
        <v>2299</v>
      </c>
      <c r="L2774" s="20"/>
      <c r="M2774" s="14" t="s">
        <v>2004</v>
      </c>
    </row>
    <row r="2775" spans="1:19">
      <c r="A2775" s="14" t="s">
        <v>118</v>
      </c>
      <c r="D2775" s="18">
        <v>2</v>
      </c>
      <c r="E2775" s="26" t="str">
        <f>VLOOKUP($A2775,MATMO,2,FALSE)</f>
        <v>-</v>
      </c>
      <c r="F2775" s="311"/>
      <c r="G2775" s="307" t="str">
        <f>VLOOKUP($A2775,MATMO,3,FALSE)</f>
        <v>-</v>
      </c>
      <c r="H2775" s="110">
        <f>VLOOKUP($A2775,MATMO,4,FALSE)*$Q$6</f>
        <v>0</v>
      </c>
      <c r="I2775" s="543" t="str">
        <f t="shared" ref="I2775:I2778" si="530">+G2775</f>
        <v>-</v>
      </c>
      <c r="J2775" s="538">
        <f t="shared" si="529"/>
        <v>0</v>
      </c>
      <c r="K2775" s="539" t="s">
        <v>2299</v>
      </c>
      <c r="L2775" s="20"/>
    </row>
    <row r="2776" spans="1:19">
      <c r="A2776" s="14" t="s">
        <v>118</v>
      </c>
      <c r="D2776" s="18">
        <v>3</v>
      </c>
      <c r="E2776" s="26" t="str">
        <f>VLOOKUP($A2776,MATMO,2,FALSE)</f>
        <v>-</v>
      </c>
      <c r="F2776" s="311"/>
      <c r="G2776" s="307" t="str">
        <f>VLOOKUP($A2776,MATMO,3,FALSE)</f>
        <v>-</v>
      </c>
      <c r="H2776" s="110">
        <f>VLOOKUP($A2776,MATMO,4,FALSE)*$Q$6</f>
        <v>0</v>
      </c>
      <c r="I2776" s="543" t="str">
        <f t="shared" si="530"/>
        <v>-</v>
      </c>
      <c r="J2776" s="538">
        <f t="shared" si="529"/>
        <v>0</v>
      </c>
      <c r="K2776" s="539" t="s">
        <v>2299</v>
      </c>
      <c r="L2776" s="20"/>
    </row>
    <row r="2777" spans="1:19">
      <c r="A2777" s="14" t="s">
        <v>118</v>
      </c>
      <c r="D2777" s="18">
        <v>4</v>
      </c>
      <c r="E2777" s="26" t="str">
        <f>VLOOKUP($A2777,MATMO,2,FALSE)</f>
        <v>-</v>
      </c>
      <c r="F2777" s="311"/>
      <c r="G2777" s="307" t="str">
        <f>VLOOKUP($A2777,MATMO,3,FALSE)</f>
        <v>-</v>
      </c>
      <c r="H2777" s="110">
        <f>VLOOKUP($A2777,MATMO,4,FALSE)*$Q$6</f>
        <v>0</v>
      </c>
      <c r="I2777" s="543" t="str">
        <f t="shared" si="530"/>
        <v>-</v>
      </c>
      <c r="J2777" s="538">
        <f t="shared" si="529"/>
        <v>0</v>
      </c>
      <c r="K2777" s="539" t="s">
        <v>2299</v>
      </c>
      <c r="L2777" s="20"/>
    </row>
    <row r="2778" spans="1:19">
      <c r="A2778" s="14" t="s">
        <v>118</v>
      </c>
      <c r="D2778" s="18">
        <v>5</v>
      </c>
      <c r="E2778" s="26" t="str">
        <f>VLOOKUP($A2778,MATMO,2,FALSE)</f>
        <v>-</v>
      </c>
      <c r="F2778" s="311"/>
      <c r="G2778" s="307" t="str">
        <f>VLOOKUP($A2778,MATMO,3,FALSE)</f>
        <v>-</v>
      </c>
      <c r="H2778" s="110">
        <f>VLOOKUP($A2778,MATMO,4,FALSE)*$Q$6</f>
        <v>0</v>
      </c>
      <c r="I2778" s="543" t="str">
        <f t="shared" si="530"/>
        <v>-</v>
      </c>
      <c r="J2778" s="538">
        <f t="shared" si="529"/>
        <v>0</v>
      </c>
      <c r="K2778" s="539" t="s">
        <v>2299</v>
      </c>
      <c r="L2778" s="20"/>
    </row>
    <row r="2779" spans="1:19">
      <c r="A2779" s="14">
        <f>A2732+1</f>
        <v>59</v>
      </c>
      <c r="B2779" s="14" t="str">
        <f>"E" &amp; TEXT(A2779,"##000")</f>
        <v>E059</v>
      </c>
      <c r="D2779" s="18"/>
      <c r="E2779" s="591" t="s">
        <v>2300</v>
      </c>
      <c r="F2779" s="592"/>
      <c r="G2779" s="592"/>
      <c r="H2779" s="592"/>
      <c r="I2779" s="328"/>
      <c r="J2779" s="362">
        <f>SUM(J2774:J2778)</f>
        <v>375.54123079999999</v>
      </c>
      <c r="K2779" s="365" t="s">
        <v>116</v>
      </c>
      <c r="L2779" s="20"/>
    </row>
    <row r="2780" spans="1:19">
      <c r="D2780" s="18"/>
      <c r="E2780" s="596"/>
      <c r="F2780" s="597"/>
      <c r="G2780" s="597"/>
      <c r="H2780" s="597"/>
      <c r="I2780" s="597"/>
      <c r="J2780" s="598"/>
      <c r="K2780" s="348"/>
      <c r="L2780" s="20"/>
    </row>
    <row r="2781" spans="1:19">
      <c r="D2781" s="18"/>
      <c r="E2781" s="591" t="s">
        <v>2306</v>
      </c>
      <c r="F2781" s="592"/>
      <c r="G2781" s="592"/>
      <c r="H2781" s="592"/>
      <c r="I2781" s="328"/>
      <c r="J2781" s="308">
        <f>+J2779+J2772+J2765</f>
        <v>9764.0720008000008</v>
      </c>
      <c r="K2781" s="365" t="str">
        <f>+F2742</f>
        <v>gl</v>
      </c>
      <c r="L2781" s="20"/>
    </row>
    <row r="2782" spans="1:19">
      <c r="D2782" s="18"/>
      <c r="E2782" s="591" t="s">
        <v>2305</v>
      </c>
      <c r="F2782" s="592"/>
      <c r="G2782" s="592"/>
      <c r="H2782" s="592"/>
      <c r="I2782" s="406">
        <f>+$Q$9</f>
        <v>1.6902999999999999</v>
      </c>
      <c r="J2782" s="308">
        <f>+$Q$9*J2781</f>
        <v>16504.21090295224</v>
      </c>
      <c r="K2782" s="365" t="str">
        <f>+F2742</f>
        <v>gl</v>
      </c>
      <c r="L2782" s="20"/>
    </row>
    <row r="2783" spans="1:19">
      <c r="A2783" s="14">
        <f>A2736+1</f>
        <v>59</v>
      </c>
      <c r="B2783" s="14" t="str">
        <f>"TR" &amp; TEXT(A2783,"##000")</f>
        <v>TR059</v>
      </c>
      <c r="C2783" s="14">
        <f>+C2736+1</f>
        <v>59</v>
      </c>
      <c r="D2783" s="18"/>
      <c r="E2783" s="591" t="s">
        <v>2304</v>
      </c>
      <c r="F2783" s="592"/>
      <c r="G2783" s="592"/>
      <c r="H2783" s="592"/>
      <c r="I2783" s="328"/>
      <c r="J2783" s="308">
        <f>+J2782</f>
        <v>16504.21090295224</v>
      </c>
      <c r="K2783" s="365" t="str">
        <f>+F2742</f>
        <v>gl</v>
      </c>
      <c r="L2783" s="20"/>
    </row>
    <row r="2784" spans="1:19" ht="16.5" thickBot="1">
      <c r="D2784" s="21"/>
      <c r="E2784" s="30"/>
      <c r="F2784" s="30"/>
      <c r="G2784" s="30"/>
      <c r="H2784" s="30"/>
      <c r="I2784" s="30"/>
      <c r="J2784" s="30"/>
      <c r="K2784" s="349"/>
      <c r="L2784" s="22"/>
    </row>
    <row r="2785" spans="1:13" ht="16.5" thickTop="1">
      <c r="D2785" s="15"/>
      <c r="E2785" s="16"/>
      <c r="F2785" s="16"/>
      <c r="G2785" s="16"/>
      <c r="H2785" s="16"/>
      <c r="I2785" s="16"/>
      <c r="J2785" s="16"/>
      <c r="K2785" s="16"/>
      <c r="L2785" s="17"/>
    </row>
    <row r="2786" spans="1:13">
      <c r="A2786" s="14" t="s">
        <v>2043</v>
      </c>
      <c r="D2786" s="18"/>
      <c r="E2786" s="23" t="s">
        <v>95</v>
      </c>
      <c r="F2786" s="364" t="str">
        <f>VLOOKUP($A2786,DATRUB,3,FALSE)</f>
        <v>RUBRO XV:</v>
      </c>
      <c r="G2786" s="599" t="str">
        <f>VLOOKUP($A2786,DATRUB,4,FALSE)</f>
        <v>SEGURIDAD</v>
      </c>
      <c r="H2786" s="599"/>
      <c r="I2786" s="599"/>
      <c r="J2786" s="599"/>
      <c r="K2786" s="599"/>
      <c r="L2786" s="20"/>
    </row>
    <row r="2787" spans="1:13" ht="35.1" customHeight="1">
      <c r="A2787" s="14" t="s">
        <v>2046</v>
      </c>
      <c r="D2787" s="18"/>
      <c r="E2787" s="23" t="s">
        <v>96</v>
      </c>
      <c r="F2787" s="399">
        <f>VLOOKUP($A2787,DATRUB,3,FALSE)</f>
        <v>15.3</v>
      </c>
      <c r="G2787" s="599" t="str">
        <f>VLOOKUP($A2787,DATRUB,4,FALSE)</f>
        <v>CONTRA INCENDIO - Carteleria</v>
      </c>
      <c r="H2787" s="599"/>
      <c r="I2787" s="599"/>
      <c r="J2787" s="599"/>
      <c r="K2787" s="599"/>
      <c r="L2787" s="20"/>
    </row>
    <row r="2788" spans="1:13" ht="35.1" customHeight="1">
      <c r="A2788" s="14" t="s">
        <v>2046</v>
      </c>
      <c r="D2788" s="18"/>
      <c r="E2788" s="23" t="s">
        <v>97</v>
      </c>
      <c r="F2788" s="399">
        <f>VLOOKUP($A2788,DATRUB,3,FALSE)</f>
        <v>15.3</v>
      </c>
      <c r="G2788" s="599" t="str">
        <f>VLOOKUP($A2788,DATRUB,4,FALSE)</f>
        <v>CONTRA INCENDIO - Carteleria</v>
      </c>
      <c r="H2788" s="599"/>
      <c r="I2788" s="599"/>
      <c r="J2788" s="599"/>
      <c r="K2788" s="599"/>
      <c r="L2788" s="20"/>
    </row>
    <row r="2789" spans="1:13">
      <c r="D2789" s="18"/>
      <c r="E2789" s="23" t="s">
        <v>98</v>
      </c>
      <c r="F2789" s="364" t="str">
        <f>VLOOKUP($A2788,DATRUB,5,FALSE)</f>
        <v>gl</v>
      </c>
      <c r="G2789" s="600"/>
      <c r="H2789" s="600"/>
      <c r="I2789" s="600"/>
      <c r="J2789" s="600"/>
      <c r="K2789" s="600"/>
      <c r="L2789" s="20"/>
    </row>
    <row r="2790" spans="1:13">
      <c r="D2790" s="18"/>
      <c r="E2790" s="364" t="s">
        <v>1158</v>
      </c>
      <c r="F2790" s="363" t="s">
        <v>1250</v>
      </c>
      <c r="G2790" s="364" t="s">
        <v>24</v>
      </c>
      <c r="H2790" s="364" t="s">
        <v>25</v>
      </c>
      <c r="I2790" s="364" t="s">
        <v>24</v>
      </c>
      <c r="J2790" s="364" t="s">
        <v>2298</v>
      </c>
      <c r="K2790" s="364" t="s">
        <v>24</v>
      </c>
      <c r="L2790" s="20"/>
    </row>
    <row r="2791" spans="1:13">
      <c r="D2791" s="18"/>
      <c r="E2791" s="593" t="s">
        <v>99</v>
      </c>
      <c r="F2791" s="594"/>
      <c r="G2791" s="594"/>
      <c r="H2791" s="594"/>
      <c r="I2791" s="594"/>
      <c r="J2791" s="594"/>
      <c r="K2791" s="595"/>
      <c r="L2791" s="20"/>
    </row>
    <row r="2792" spans="1:13">
      <c r="A2792" s="14" t="s">
        <v>2495</v>
      </c>
      <c r="D2792" s="18">
        <v>1</v>
      </c>
      <c r="E2792" s="355" t="str">
        <f t="shared" ref="E2792:E2811" si="531">VLOOKUP($A2792,MATMO,2,FALSE)</f>
        <v>Cartel Salida Común</v>
      </c>
      <c r="F2792" s="356">
        <v>27</v>
      </c>
      <c r="G2792" s="357" t="str">
        <f t="shared" ref="G2792:G2811" si="532">VLOOKUP($A2792,MATMO,3,FALSE)</f>
        <v>u</v>
      </c>
      <c r="H2792" s="358">
        <f t="shared" ref="H2792:H2811" si="533">VLOOKUP($A2792,MATMO,4,FALSE)*$Q$6</f>
        <v>34</v>
      </c>
      <c r="I2792" s="359" t="str">
        <f t="shared" ref="I2792:I2811" si="534">+G2792</f>
        <v>u</v>
      </c>
      <c r="J2792" s="361">
        <f>+H2792*F2792</f>
        <v>918</v>
      </c>
      <c r="K2792" s="360" t="s">
        <v>2299</v>
      </c>
      <c r="L2792" s="20"/>
      <c r="M2792" s="14" t="s">
        <v>2005</v>
      </c>
    </row>
    <row r="2793" spans="1:13">
      <c r="A2793" s="14" t="s">
        <v>2496</v>
      </c>
      <c r="D2793" s="18">
        <v>2</v>
      </c>
      <c r="E2793" s="26" t="str">
        <f t="shared" si="531"/>
        <v>Cartel Salida LED</v>
      </c>
      <c r="F2793" s="311">
        <v>16</v>
      </c>
      <c r="G2793" s="307" t="str">
        <f t="shared" si="532"/>
        <v>u</v>
      </c>
      <c r="H2793" s="351">
        <f t="shared" si="533"/>
        <v>540</v>
      </c>
      <c r="I2793" s="354" t="str">
        <f t="shared" si="534"/>
        <v>u</v>
      </c>
      <c r="J2793" s="350">
        <f t="shared" ref="J2793:J2811" si="535">+H2793*F2793</f>
        <v>8640</v>
      </c>
      <c r="K2793" s="360" t="s">
        <v>2299</v>
      </c>
      <c r="L2793" s="20"/>
    </row>
    <row r="2794" spans="1:13">
      <c r="A2794" s="14" t="s">
        <v>2497</v>
      </c>
      <c r="D2794" s="18">
        <v>3</v>
      </c>
      <c r="E2794" s="26" t="str">
        <f t="shared" si="531"/>
        <v>Botiquín Primeros Auxilios</v>
      </c>
      <c r="F2794" s="311">
        <v>2</v>
      </c>
      <c r="G2794" s="307" t="str">
        <f t="shared" si="532"/>
        <v>u</v>
      </c>
      <c r="H2794" s="351">
        <f t="shared" si="533"/>
        <v>500</v>
      </c>
      <c r="I2794" s="354" t="str">
        <f t="shared" si="534"/>
        <v>u</v>
      </c>
      <c r="J2794" s="350">
        <f t="shared" si="535"/>
        <v>1000</v>
      </c>
      <c r="K2794" s="360" t="s">
        <v>2299</v>
      </c>
      <c r="L2794" s="20"/>
    </row>
    <row r="2795" spans="1:13">
      <c r="A2795" s="14" t="s">
        <v>31</v>
      </c>
      <c r="D2795" s="18">
        <v>4</v>
      </c>
      <c r="E2795" s="26" t="str">
        <f t="shared" si="531"/>
        <v>-</v>
      </c>
      <c r="F2795" s="311"/>
      <c r="G2795" s="307" t="str">
        <f t="shared" si="532"/>
        <v>-</v>
      </c>
      <c r="H2795" s="351">
        <f t="shared" si="533"/>
        <v>0</v>
      </c>
      <c r="I2795" s="537" t="str">
        <f t="shared" si="534"/>
        <v>-</v>
      </c>
      <c r="J2795" s="538">
        <f t="shared" si="535"/>
        <v>0</v>
      </c>
      <c r="K2795" s="539" t="s">
        <v>2299</v>
      </c>
      <c r="L2795" s="20"/>
    </row>
    <row r="2796" spans="1:13">
      <c r="A2796" s="14" t="s">
        <v>31</v>
      </c>
      <c r="D2796" s="18">
        <v>5</v>
      </c>
      <c r="E2796" s="26" t="str">
        <f t="shared" si="531"/>
        <v>-</v>
      </c>
      <c r="F2796" s="311"/>
      <c r="G2796" s="307" t="str">
        <f t="shared" si="532"/>
        <v>-</v>
      </c>
      <c r="H2796" s="351">
        <f t="shared" si="533"/>
        <v>0</v>
      </c>
      <c r="I2796" s="537" t="str">
        <f t="shared" si="534"/>
        <v>-</v>
      </c>
      <c r="J2796" s="538">
        <f t="shared" si="535"/>
        <v>0</v>
      </c>
      <c r="K2796" s="539" t="s">
        <v>2299</v>
      </c>
      <c r="L2796" s="20"/>
    </row>
    <row r="2797" spans="1:13">
      <c r="A2797" s="14" t="s">
        <v>31</v>
      </c>
      <c r="D2797" s="18">
        <v>6</v>
      </c>
      <c r="E2797" s="26" t="str">
        <f t="shared" si="531"/>
        <v>-</v>
      </c>
      <c r="F2797" s="311"/>
      <c r="G2797" s="307" t="str">
        <f t="shared" si="532"/>
        <v>-</v>
      </c>
      <c r="H2797" s="351">
        <f t="shared" si="533"/>
        <v>0</v>
      </c>
      <c r="I2797" s="537" t="str">
        <f t="shared" si="534"/>
        <v>-</v>
      </c>
      <c r="J2797" s="538">
        <f t="shared" si="535"/>
        <v>0</v>
      </c>
      <c r="K2797" s="539" t="s">
        <v>2299</v>
      </c>
      <c r="L2797" s="20"/>
    </row>
    <row r="2798" spans="1:13">
      <c r="A2798" s="14" t="s">
        <v>31</v>
      </c>
      <c r="D2798" s="18">
        <v>7</v>
      </c>
      <c r="E2798" s="26" t="str">
        <f t="shared" si="531"/>
        <v>-</v>
      </c>
      <c r="F2798" s="311"/>
      <c r="G2798" s="307" t="str">
        <f t="shared" si="532"/>
        <v>-</v>
      </c>
      <c r="H2798" s="351">
        <f t="shared" si="533"/>
        <v>0</v>
      </c>
      <c r="I2798" s="537" t="str">
        <f t="shared" si="534"/>
        <v>-</v>
      </c>
      <c r="J2798" s="538">
        <f t="shared" si="535"/>
        <v>0</v>
      </c>
      <c r="K2798" s="539" t="s">
        <v>2299</v>
      </c>
      <c r="L2798" s="20"/>
    </row>
    <row r="2799" spans="1:13">
      <c r="A2799" s="14" t="s">
        <v>31</v>
      </c>
      <c r="D2799" s="18">
        <v>8</v>
      </c>
      <c r="E2799" s="26" t="str">
        <f t="shared" si="531"/>
        <v>-</v>
      </c>
      <c r="F2799" s="311"/>
      <c r="G2799" s="307" t="str">
        <f t="shared" si="532"/>
        <v>-</v>
      </c>
      <c r="H2799" s="351">
        <f t="shared" si="533"/>
        <v>0</v>
      </c>
      <c r="I2799" s="537" t="str">
        <f t="shared" si="534"/>
        <v>-</v>
      </c>
      <c r="J2799" s="538">
        <f t="shared" si="535"/>
        <v>0</v>
      </c>
      <c r="K2799" s="539" t="s">
        <v>2299</v>
      </c>
      <c r="L2799" s="20"/>
    </row>
    <row r="2800" spans="1:13">
      <c r="A2800" s="14" t="s">
        <v>31</v>
      </c>
      <c r="D2800" s="18">
        <v>9</v>
      </c>
      <c r="E2800" s="26" t="str">
        <f t="shared" si="531"/>
        <v>-</v>
      </c>
      <c r="F2800" s="311"/>
      <c r="G2800" s="307" t="str">
        <f t="shared" si="532"/>
        <v>-</v>
      </c>
      <c r="H2800" s="351">
        <f t="shared" si="533"/>
        <v>0</v>
      </c>
      <c r="I2800" s="537" t="str">
        <f t="shared" si="534"/>
        <v>-</v>
      </c>
      <c r="J2800" s="538">
        <f t="shared" si="535"/>
        <v>0</v>
      </c>
      <c r="K2800" s="539" t="s">
        <v>2299</v>
      </c>
      <c r="L2800" s="20"/>
    </row>
    <row r="2801" spans="1:16">
      <c r="A2801" s="14" t="s">
        <v>31</v>
      </c>
      <c r="D2801" s="18">
        <v>10</v>
      </c>
      <c r="E2801" s="26" t="str">
        <f t="shared" si="531"/>
        <v>-</v>
      </c>
      <c r="F2801" s="311"/>
      <c r="G2801" s="307" t="str">
        <f t="shared" si="532"/>
        <v>-</v>
      </c>
      <c r="H2801" s="351">
        <f t="shared" si="533"/>
        <v>0</v>
      </c>
      <c r="I2801" s="537" t="str">
        <f t="shared" si="534"/>
        <v>-</v>
      </c>
      <c r="J2801" s="538">
        <f t="shared" si="535"/>
        <v>0</v>
      </c>
      <c r="K2801" s="539" t="s">
        <v>2299</v>
      </c>
      <c r="L2801" s="20"/>
    </row>
    <row r="2802" spans="1:16">
      <c r="A2802" s="14" t="s">
        <v>31</v>
      </c>
      <c r="D2802" s="18">
        <v>11</v>
      </c>
      <c r="E2802" s="26" t="str">
        <f t="shared" si="531"/>
        <v>-</v>
      </c>
      <c r="F2802" s="311"/>
      <c r="G2802" s="307" t="str">
        <f t="shared" si="532"/>
        <v>-</v>
      </c>
      <c r="H2802" s="351">
        <f t="shared" si="533"/>
        <v>0</v>
      </c>
      <c r="I2802" s="537" t="str">
        <f t="shared" si="534"/>
        <v>-</v>
      </c>
      <c r="J2802" s="538">
        <f t="shared" si="535"/>
        <v>0</v>
      </c>
      <c r="K2802" s="539" t="s">
        <v>2299</v>
      </c>
      <c r="L2802" s="20"/>
    </row>
    <row r="2803" spans="1:16">
      <c r="A2803" s="14" t="s">
        <v>31</v>
      </c>
      <c r="D2803" s="18">
        <v>12</v>
      </c>
      <c r="E2803" s="26" t="str">
        <f t="shared" si="531"/>
        <v>-</v>
      </c>
      <c r="F2803" s="311"/>
      <c r="G2803" s="307" t="str">
        <f t="shared" si="532"/>
        <v>-</v>
      </c>
      <c r="H2803" s="352">
        <f t="shared" si="533"/>
        <v>0</v>
      </c>
      <c r="I2803" s="537" t="str">
        <f t="shared" si="534"/>
        <v>-</v>
      </c>
      <c r="J2803" s="538">
        <f t="shared" si="535"/>
        <v>0</v>
      </c>
      <c r="K2803" s="539" t="s">
        <v>2299</v>
      </c>
      <c r="L2803" s="20"/>
    </row>
    <row r="2804" spans="1:16">
      <c r="A2804" s="14" t="s">
        <v>31</v>
      </c>
      <c r="D2804" s="18">
        <v>13</v>
      </c>
      <c r="E2804" s="26" t="str">
        <f t="shared" si="531"/>
        <v>-</v>
      </c>
      <c r="F2804" s="311"/>
      <c r="G2804" s="307" t="str">
        <f t="shared" si="532"/>
        <v>-</v>
      </c>
      <c r="H2804" s="352">
        <f t="shared" si="533"/>
        <v>0</v>
      </c>
      <c r="I2804" s="537" t="str">
        <f t="shared" si="534"/>
        <v>-</v>
      </c>
      <c r="J2804" s="538">
        <f t="shared" si="535"/>
        <v>0</v>
      </c>
      <c r="K2804" s="539" t="s">
        <v>2299</v>
      </c>
      <c r="L2804" s="20"/>
    </row>
    <row r="2805" spans="1:16">
      <c r="A2805" s="14" t="s">
        <v>31</v>
      </c>
      <c r="D2805" s="18">
        <v>14</v>
      </c>
      <c r="E2805" s="26" t="str">
        <f t="shared" si="531"/>
        <v>-</v>
      </c>
      <c r="F2805" s="311"/>
      <c r="G2805" s="307" t="str">
        <f t="shared" si="532"/>
        <v>-</v>
      </c>
      <c r="H2805" s="352">
        <f t="shared" si="533"/>
        <v>0</v>
      </c>
      <c r="I2805" s="537" t="str">
        <f t="shared" si="534"/>
        <v>-</v>
      </c>
      <c r="J2805" s="538">
        <f t="shared" si="535"/>
        <v>0</v>
      </c>
      <c r="K2805" s="539" t="s">
        <v>2299</v>
      </c>
      <c r="L2805" s="20"/>
    </row>
    <row r="2806" spans="1:16">
      <c r="A2806" s="14" t="s">
        <v>31</v>
      </c>
      <c r="D2806" s="18">
        <v>15</v>
      </c>
      <c r="E2806" s="26" t="str">
        <f t="shared" si="531"/>
        <v>-</v>
      </c>
      <c r="F2806" s="311"/>
      <c r="G2806" s="307" t="str">
        <f t="shared" si="532"/>
        <v>-</v>
      </c>
      <c r="H2806" s="352">
        <f t="shared" si="533"/>
        <v>0</v>
      </c>
      <c r="I2806" s="537" t="str">
        <f t="shared" si="534"/>
        <v>-</v>
      </c>
      <c r="J2806" s="538">
        <f t="shared" si="535"/>
        <v>0</v>
      </c>
      <c r="K2806" s="539" t="s">
        <v>2299</v>
      </c>
      <c r="L2806" s="20"/>
    </row>
    <row r="2807" spans="1:16">
      <c r="A2807" s="14" t="s">
        <v>31</v>
      </c>
      <c r="D2807" s="18">
        <v>16</v>
      </c>
      <c r="E2807" s="26" t="str">
        <f t="shared" si="531"/>
        <v>-</v>
      </c>
      <c r="F2807" s="311"/>
      <c r="G2807" s="307" t="str">
        <f t="shared" si="532"/>
        <v>-</v>
      </c>
      <c r="H2807" s="352">
        <f t="shared" si="533"/>
        <v>0</v>
      </c>
      <c r="I2807" s="537" t="str">
        <f t="shared" si="534"/>
        <v>-</v>
      </c>
      <c r="J2807" s="538">
        <f t="shared" si="535"/>
        <v>0</v>
      </c>
      <c r="K2807" s="539" t="s">
        <v>2299</v>
      </c>
      <c r="L2807" s="20"/>
    </row>
    <row r="2808" spans="1:16">
      <c r="A2808" s="14" t="s">
        <v>31</v>
      </c>
      <c r="D2808" s="18">
        <v>17</v>
      </c>
      <c r="E2808" s="26" t="str">
        <f t="shared" si="531"/>
        <v>-</v>
      </c>
      <c r="F2808" s="311"/>
      <c r="G2808" s="307" t="str">
        <f t="shared" si="532"/>
        <v>-</v>
      </c>
      <c r="H2808" s="352">
        <f t="shared" si="533"/>
        <v>0</v>
      </c>
      <c r="I2808" s="537" t="str">
        <f t="shared" si="534"/>
        <v>-</v>
      </c>
      <c r="J2808" s="538">
        <f t="shared" si="535"/>
        <v>0</v>
      </c>
      <c r="K2808" s="539" t="s">
        <v>2299</v>
      </c>
      <c r="L2808" s="20"/>
    </row>
    <row r="2809" spans="1:16">
      <c r="A2809" s="14" t="s">
        <v>31</v>
      </c>
      <c r="D2809" s="18">
        <v>18</v>
      </c>
      <c r="E2809" s="26" t="str">
        <f t="shared" si="531"/>
        <v>-</v>
      </c>
      <c r="F2809" s="311"/>
      <c r="G2809" s="307" t="str">
        <f t="shared" si="532"/>
        <v>-</v>
      </c>
      <c r="H2809" s="352">
        <f t="shared" si="533"/>
        <v>0</v>
      </c>
      <c r="I2809" s="537" t="str">
        <f t="shared" si="534"/>
        <v>-</v>
      </c>
      <c r="J2809" s="538">
        <f t="shared" si="535"/>
        <v>0</v>
      </c>
      <c r="K2809" s="539" t="s">
        <v>2299</v>
      </c>
      <c r="L2809" s="20"/>
    </row>
    <row r="2810" spans="1:16">
      <c r="A2810" s="14" t="s">
        <v>31</v>
      </c>
      <c r="D2810" s="18">
        <v>19</v>
      </c>
      <c r="E2810" s="26" t="str">
        <f t="shared" si="531"/>
        <v>-</v>
      </c>
      <c r="F2810" s="311"/>
      <c r="G2810" s="307" t="str">
        <f t="shared" si="532"/>
        <v>-</v>
      </c>
      <c r="H2810" s="352">
        <f t="shared" si="533"/>
        <v>0</v>
      </c>
      <c r="I2810" s="537" t="str">
        <f t="shared" si="534"/>
        <v>-</v>
      </c>
      <c r="J2810" s="538">
        <f t="shared" si="535"/>
        <v>0</v>
      </c>
      <c r="K2810" s="539" t="s">
        <v>2299</v>
      </c>
      <c r="L2810" s="20"/>
    </row>
    <row r="2811" spans="1:16">
      <c r="A2811" s="14" t="s">
        <v>31</v>
      </c>
      <c r="D2811" s="18">
        <v>20</v>
      </c>
      <c r="E2811" s="26" t="str">
        <f t="shared" si="531"/>
        <v>-</v>
      </c>
      <c r="F2811" s="311"/>
      <c r="G2811" s="307" t="str">
        <f t="shared" si="532"/>
        <v>-</v>
      </c>
      <c r="H2811" s="352">
        <f t="shared" si="533"/>
        <v>0</v>
      </c>
      <c r="I2811" s="537" t="str">
        <f t="shared" si="534"/>
        <v>-</v>
      </c>
      <c r="J2811" s="541">
        <f t="shared" si="535"/>
        <v>0</v>
      </c>
      <c r="K2811" s="539" t="s">
        <v>2299</v>
      </c>
      <c r="L2811" s="20"/>
    </row>
    <row r="2812" spans="1:16">
      <c r="A2812" s="14">
        <f>A2779+1</f>
        <v>60</v>
      </c>
      <c r="B2812" s="14" t="str">
        <f>"MA" &amp; TEXT(A2812,"##000")</f>
        <v>MA060</v>
      </c>
      <c r="D2812" s="18"/>
      <c r="E2812" s="591" t="s">
        <v>2302</v>
      </c>
      <c r="F2812" s="592"/>
      <c r="G2812" s="592"/>
      <c r="H2812" s="592"/>
      <c r="I2812" s="328"/>
      <c r="J2812" s="353">
        <f>SUM(J2792:J2811)</f>
        <v>10558</v>
      </c>
      <c r="K2812" s="365" t="str">
        <f>+F2789</f>
        <v>gl</v>
      </c>
      <c r="L2812" s="20"/>
      <c r="O2812" s="27" t="s">
        <v>1525</v>
      </c>
      <c r="P2812" s="110">
        <f>15*45</f>
        <v>675</v>
      </c>
    </row>
    <row r="2813" spans="1:16">
      <c r="D2813" s="18"/>
      <c r="E2813" s="593" t="s">
        <v>100</v>
      </c>
      <c r="F2813" s="594"/>
      <c r="G2813" s="594"/>
      <c r="H2813" s="594"/>
      <c r="I2813" s="594"/>
      <c r="J2813" s="595"/>
      <c r="K2813" s="347"/>
      <c r="L2813" s="20"/>
      <c r="O2813" s="27" t="s">
        <v>1524</v>
      </c>
      <c r="P2813" s="110">
        <v>0</v>
      </c>
    </row>
    <row r="2814" spans="1:16">
      <c r="A2814" s="14" t="s">
        <v>84</v>
      </c>
      <c r="D2814" s="18">
        <v>1</v>
      </c>
      <c r="E2814" s="26" t="str">
        <f>VLOOKUP($A2814,MATMO,2,FALSE)</f>
        <v>Oficial</v>
      </c>
      <c r="F2814" s="311">
        <v>9.6</v>
      </c>
      <c r="G2814" s="307" t="str">
        <f>VLOOKUP($A2814,MATMO,3,FALSE)</f>
        <v>hs</v>
      </c>
      <c r="H2814" s="110">
        <f>VLOOKUP($A2814,MATMO,4,FALSE)*$Q$7</f>
        <v>55.38</v>
      </c>
      <c r="I2814" s="354" t="str">
        <f t="shared" ref="I2814:I2818" si="536">+G2814</f>
        <v>hs</v>
      </c>
      <c r="J2814" s="350">
        <f t="shared" ref="J2814:J2818" si="537">+H2814*F2814</f>
        <v>531.64800000000002</v>
      </c>
      <c r="K2814" s="360" t="s">
        <v>2299</v>
      </c>
      <c r="L2814" s="20"/>
      <c r="M2814" s="14" t="s">
        <v>2006</v>
      </c>
      <c r="O2814" s="27" t="s">
        <v>1526</v>
      </c>
      <c r="P2814" s="110">
        <v>0</v>
      </c>
    </row>
    <row r="2815" spans="1:16">
      <c r="A2815" s="14" t="s">
        <v>85</v>
      </c>
      <c r="D2815" s="18">
        <v>2</v>
      </c>
      <c r="E2815" s="26" t="str">
        <f>VLOOKUP($A2815,MATMO,2,FALSE)</f>
        <v>Ayudante</v>
      </c>
      <c r="F2815" s="311">
        <v>2.5</v>
      </c>
      <c r="G2815" s="307" t="str">
        <f>VLOOKUP($A2815,MATMO,3,FALSE)</f>
        <v>hs</v>
      </c>
      <c r="H2815" s="110">
        <f>VLOOKUP($A2815,MATMO,4,FALSE)*$Q$7</f>
        <v>46.87</v>
      </c>
      <c r="I2815" s="354" t="str">
        <f t="shared" si="536"/>
        <v>hs</v>
      </c>
      <c r="J2815" s="350">
        <f t="shared" si="537"/>
        <v>117.175</v>
      </c>
      <c r="K2815" s="360" t="s">
        <v>2299</v>
      </c>
      <c r="L2815" s="20"/>
      <c r="O2815" s="27" t="s">
        <v>1527</v>
      </c>
      <c r="P2815" s="110">
        <v>0</v>
      </c>
    </row>
    <row r="2816" spans="1:16">
      <c r="A2816" s="14" t="s">
        <v>2311</v>
      </c>
      <c r="D2816" s="18">
        <v>3</v>
      </c>
      <c r="E2816" s="26" t="str">
        <f>VLOOKUP($A2816,MATMO,2,FALSE)</f>
        <v>Cargas Sociales Oficial</v>
      </c>
      <c r="F2816" s="311">
        <f>+F2814</f>
        <v>9.6</v>
      </c>
      <c r="G2816" s="307" t="str">
        <f>VLOOKUP($A2816,MATMO,3,FALSE)</f>
        <v>hs</v>
      </c>
      <c r="H2816" s="110">
        <f>VLOOKUP($A2816,MATMO,4,FALSE)*$Q$7</f>
        <v>52.742782499999997</v>
      </c>
      <c r="I2816" s="354" t="str">
        <f t="shared" si="536"/>
        <v>hs</v>
      </c>
      <c r="J2816" s="350">
        <f t="shared" si="537"/>
        <v>506.33071199999995</v>
      </c>
      <c r="K2816" s="360" t="s">
        <v>2299</v>
      </c>
      <c r="L2816" s="20"/>
      <c r="O2816" s="27"/>
      <c r="P2816" s="110">
        <v>0</v>
      </c>
    </row>
    <row r="2817" spans="1:19">
      <c r="A2817" s="14" t="s">
        <v>2312</v>
      </c>
      <c r="D2817" s="18">
        <v>4</v>
      </c>
      <c r="E2817" s="26" t="str">
        <f>VLOOKUP($A2817,MATMO,2,FALSE)</f>
        <v>Cargas Sociales Ayudante</v>
      </c>
      <c r="F2817" s="311">
        <f>+F2815</f>
        <v>2.5</v>
      </c>
      <c r="G2817" s="307" t="str">
        <f>VLOOKUP($A2817,MATMO,3,FALSE)</f>
        <v>hs</v>
      </c>
      <c r="H2817" s="110">
        <f>VLOOKUP($A2817,MATMO,4,FALSE)*$Q$7</f>
        <v>45.108248750000001</v>
      </c>
      <c r="I2817" s="354" t="str">
        <f t="shared" si="536"/>
        <v>hs</v>
      </c>
      <c r="J2817" s="350">
        <f t="shared" si="537"/>
        <v>112.770621875</v>
      </c>
      <c r="K2817" s="360" t="s">
        <v>2299</v>
      </c>
      <c r="L2817" s="20"/>
      <c r="O2817" s="27"/>
      <c r="P2817" s="110">
        <v>0</v>
      </c>
    </row>
    <row r="2818" spans="1:19" ht="16.5" thickBot="1">
      <c r="A2818" s="14" t="s">
        <v>83</v>
      </c>
      <c r="D2818" s="18">
        <v>5</v>
      </c>
      <c r="E2818" s="26" t="str">
        <f>VLOOKUP($A2818,MATMO,2,FALSE)</f>
        <v>-</v>
      </c>
      <c r="F2818" s="311"/>
      <c r="G2818" s="307" t="str">
        <f>VLOOKUP($A2818,MATMO,3,FALSE)</f>
        <v>-</v>
      </c>
      <c r="H2818" s="110">
        <f>VLOOKUP($A2818,MATMO,4,FALSE)*$Q$7</f>
        <v>0</v>
      </c>
      <c r="I2818" s="537" t="str">
        <f t="shared" si="536"/>
        <v>-</v>
      </c>
      <c r="J2818" s="538">
        <f t="shared" si="537"/>
        <v>0</v>
      </c>
      <c r="K2818" s="539" t="s">
        <v>2299</v>
      </c>
      <c r="L2818" s="20"/>
      <c r="O2818" s="27"/>
      <c r="P2818" s="110">
        <v>0</v>
      </c>
      <c r="R2818" s="29" t="s">
        <v>2307</v>
      </c>
    </row>
    <row r="2819" spans="1:19" ht="16.5" thickBot="1">
      <c r="A2819" s="14">
        <f>A2779+1</f>
        <v>60</v>
      </c>
      <c r="B2819" s="14" t="str">
        <f>"MO" &amp; TEXT(A2819,"##000")</f>
        <v>MO060</v>
      </c>
      <c r="D2819" s="18"/>
      <c r="E2819" s="591" t="s">
        <v>2301</v>
      </c>
      <c r="F2819" s="592"/>
      <c r="G2819" s="592"/>
      <c r="H2819" s="592"/>
      <c r="I2819" s="328"/>
      <c r="J2819" s="362">
        <f>SUM(J2814:J2818)</f>
        <v>1267.9243338749998</v>
      </c>
      <c r="K2819" s="365" t="str">
        <f>+G2814</f>
        <v>hs</v>
      </c>
      <c r="L2819" s="20"/>
      <c r="N2819" s="111">
        <f>+P2819+R2819</f>
        <v>1282.5</v>
      </c>
      <c r="O2819" s="27"/>
      <c r="P2819" s="27">
        <f>SUM(P2812:P2818)</f>
        <v>675</v>
      </c>
      <c r="Q2819" s="26">
        <v>0.9</v>
      </c>
      <c r="R2819" s="287">
        <f>+Q2819*P2819</f>
        <v>607.5</v>
      </c>
      <c r="S2819" s="288"/>
    </row>
    <row r="2820" spans="1:19">
      <c r="D2820" s="18"/>
      <c r="E2820" s="593" t="s">
        <v>101</v>
      </c>
      <c r="F2820" s="594"/>
      <c r="G2820" s="594"/>
      <c r="H2820" s="594"/>
      <c r="I2820" s="594"/>
      <c r="J2820" s="595"/>
      <c r="K2820" s="347"/>
      <c r="L2820" s="20"/>
      <c r="P2820" s="14" t="s">
        <v>2308</v>
      </c>
    </row>
    <row r="2821" spans="1:19">
      <c r="A2821" s="14" t="s">
        <v>119</v>
      </c>
      <c r="D2821" s="18">
        <v>1</v>
      </c>
      <c r="E2821" s="26" t="str">
        <f>VLOOKUP($A2821,MATMO,2,FALSE)</f>
        <v>Herramientas de Mano</v>
      </c>
      <c r="F2821" s="311">
        <v>1</v>
      </c>
      <c r="G2821" s="307" t="str">
        <f>VLOOKUP($A2821,MATMO,3,FALSE)</f>
        <v>gl</v>
      </c>
      <c r="H2821" s="110">
        <f>+(J2812+J2819)*$Q$5</f>
        <v>473.03697335500004</v>
      </c>
      <c r="I2821" s="345" t="str">
        <f>+G2821</f>
        <v>gl</v>
      </c>
      <c r="J2821" s="350">
        <f t="shared" ref="J2821:J2825" si="538">+H2821*F2821</f>
        <v>473.03697335500004</v>
      </c>
      <c r="K2821" s="360" t="s">
        <v>2299</v>
      </c>
      <c r="L2821" s="20"/>
      <c r="M2821" s="14" t="s">
        <v>2004</v>
      </c>
    </row>
    <row r="2822" spans="1:19">
      <c r="A2822" s="14" t="s">
        <v>118</v>
      </c>
      <c r="D2822" s="18">
        <v>2</v>
      </c>
      <c r="E2822" s="26" t="str">
        <f>VLOOKUP($A2822,MATMO,2,FALSE)</f>
        <v>-</v>
      </c>
      <c r="F2822" s="311"/>
      <c r="G2822" s="307" t="str">
        <f>VLOOKUP($A2822,MATMO,3,FALSE)</f>
        <v>-</v>
      </c>
      <c r="H2822" s="110">
        <f>VLOOKUP($A2822,MATMO,4,FALSE)*$Q$6</f>
        <v>0</v>
      </c>
      <c r="I2822" s="543" t="str">
        <f t="shared" ref="I2822:I2825" si="539">+G2822</f>
        <v>-</v>
      </c>
      <c r="J2822" s="538">
        <f t="shared" si="538"/>
        <v>0</v>
      </c>
      <c r="K2822" s="539" t="s">
        <v>2299</v>
      </c>
      <c r="L2822" s="20"/>
    </row>
    <row r="2823" spans="1:19">
      <c r="A2823" s="14" t="s">
        <v>118</v>
      </c>
      <c r="D2823" s="18">
        <v>3</v>
      </c>
      <c r="E2823" s="26" t="str">
        <f>VLOOKUP($A2823,MATMO,2,FALSE)</f>
        <v>-</v>
      </c>
      <c r="F2823" s="311"/>
      <c r="G2823" s="307" t="str">
        <f>VLOOKUP($A2823,MATMO,3,FALSE)</f>
        <v>-</v>
      </c>
      <c r="H2823" s="110">
        <f>VLOOKUP($A2823,MATMO,4,FALSE)*$Q$6</f>
        <v>0</v>
      </c>
      <c r="I2823" s="543" t="str">
        <f t="shared" si="539"/>
        <v>-</v>
      </c>
      <c r="J2823" s="538">
        <f t="shared" si="538"/>
        <v>0</v>
      </c>
      <c r="K2823" s="539" t="s">
        <v>2299</v>
      </c>
      <c r="L2823" s="20"/>
    </row>
    <row r="2824" spans="1:19">
      <c r="A2824" s="14" t="s">
        <v>118</v>
      </c>
      <c r="D2824" s="18">
        <v>4</v>
      </c>
      <c r="E2824" s="26" t="str">
        <f>VLOOKUP($A2824,MATMO,2,FALSE)</f>
        <v>-</v>
      </c>
      <c r="F2824" s="311"/>
      <c r="G2824" s="307" t="str">
        <f>VLOOKUP($A2824,MATMO,3,FALSE)</f>
        <v>-</v>
      </c>
      <c r="H2824" s="110">
        <f>VLOOKUP($A2824,MATMO,4,FALSE)*$Q$6</f>
        <v>0</v>
      </c>
      <c r="I2824" s="543" t="str">
        <f t="shared" si="539"/>
        <v>-</v>
      </c>
      <c r="J2824" s="538">
        <f t="shared" si="538"/>
        <v>0</v>
      </c>
      <c r="K2824" s="539" t="s">
        <v>2299</v>
      </c>
      <c r="L2824" s="20"/>
    </row>
    <row r="2825" spans="1:19">
      <c r="A2825" s="14" t="s">
        <v>118</v>
      </c>
      <c r="D2825" s="18">
        <v>5</v>
      </c>
      <c r="E2825" s="26" t="str">
        <f>VLOOKUP($A2825,MATMO,2,FALSE)</f>
        <v>-</v>
      </c>
      <c r="F2825" s="311"/>
      <c r="G2825" s="307" t="str">
        <f>VLOOKUP($A2825,MATMO,3,FALSE)</f>
        <v>-</v>
      </c>
      <c r="H2825" s="110">
        <f>VLOOKUP($A2825,MATMO,4,FALSE)*$Q$6</f>
        <v>0</v>
      </c>
      <c r="I2825" s="543" t="str">
        <f t="shared" si="539"/>
        <v>-</v>
      </c>
      <c r="J2825" s="538">
        <f t="shared" si="538"/>
        <v>0</v>
      </c>
      <c r="K2825" s="539" t="s">
        <v>2299</v>
      </c>
      <c r="L2825" s="20"/>
    </row>
    <row r="2826" spans="1:19">
      <c r="A2826" s="14">
        <f>A2779+1</f>
        <v>60</v>
      </c>
      <c r="B2826" s="14" t="str">
        <f>"E" &amp; TEXT(A2826,"##000")</f>
        <v>E060</v>
      </c>
      <c r="D2826" s="18"/>
      <c r="E2826" s="591" t="s">
        <v>2300</v>
      </c>
      <c r="F2826" s="592"/>
      <c r="G2826" s="592"/>
      <c r="H2826" s="592"/>
      <c r="I2826" s="328"/>
      <c r="J2826" s="362">
        <f>SUM(J2821:J2825)</f>
        <v>473.03697335500004</v>
      </c>
      <c r="K2826" s="365" t="s">
        <v>116</v>
      </c>
      <c r="L2826" s="20"/>
    </row>
    <row r="2827" spans="1:19">
      <c r="D2827" s="18"/>
      <c r="E2827" s="596"/>
      <c r="F2827" s="597"/>
      <c r="G2827" s="597"/>
      <c r="H2827" s="597"/>
      <c r="I2827" s="597"/>
      <c r="J2827" s="598"/>
      <c r="K2827" s="348"/>
      <c r="L2827" s="20"/>
    </row>
    <row r="2828" spans="1:19">
      <c r="D2828" s="18"/>
      <c r="E2828" s="591" t="s">
        <v>2306</v>
      </c>
      <c r="F2828" s="592"/>
      <c r="G2828" s="592"/>
      <c r="H2828" s="592"/>
      <c r="I2828" s="328"/>
      <c r="J2828" s="308">
        <f>+J2826+J2819+J2812</f>
        <v>12298.96130723</v>
      </c>
      <c r="K2828" s="365" t="str">
        <f>+F2789</f>
        <v>gl</v>
      </c>
      <c r="L2828" s="20"/>
    </row>
    <row r="2829" spans="1:19">
      <c r="D2829" s="18"/>
      <c r="E2829" s="591" t="s">
        <v>2305</v>
      </c>
      <c r="F2829" s="592"/>
      <c r="G2829" s="592"/>
      <c r="H2829" s="592"/>
      <c r="I2829" s="406">
        <f>+$Q$9</f>
        <v>1.6902999999999999</v>
      </c>
      <c r="J2829" s="308">
        <f>+$Q$9*J2828</f>
        <v>20788.934297610867</v>
      </c>
      <c r="K2829" s="365" t="str">
        <f>+F2789</f>
        <v>gl</v>
      </c>
      <c r="L2829" s="20"/>
    </row>
    <row r="2830" spans="1:19">
      <c r="A2830" s="14">
        <f>A2783+1</f>
        <v>60</v>
      </c>
      <c r="B2830" s="14" t="str">
        <f>"TR" &amp; TEXT(A2830,"##000")</f>
        <v>TR060</v>
      </c>
      <c r="C2830" s="14">
        <f>+C2783+1</f>
        <v>60</v>
      </c>
      <c r="D2830" s="18"/>
      <c r="E2830" s="591" t="s">
        <v>2304</v>
      </c>
      <c r="F2830" s="592"/>
      <c r="G2830" s="592"/>
      <c r="H2830" s="592"/>
      <c r="I2830" s="328"/>
      <c r="J2830" s="308">
        <f>+J2829</f>
        <v>20788.934297610867</v>
      </c>
      <c r="K2830" s="365" t="str">
        <f>+F2789</f>
        <v>gl</v>
      </c>
      <c r="L2830" s="20"/>
    </row>
    <row r="2831" spans="1:19" ht="16.5" thickBot="1">
      <c r="D2831" s="21"/>
      <c r="E2831" s="30"/>
      <c r="F2831" s="30"/>
      <c r="G2831" s="30"/>
      <c r="H2831" s="30"/>
      <c r="I2831" s="30"/>
      <c r="J2831" s="30"/>
      <c r="K2831" s="349"/>
      <c r="L2831" s="22"/>
    </row>
    <row r="2832" spans="1:19" ht="16.5" thickTop="1">
      <c r="D2832" s="15"/>
      <c r="E2832" s="16"/>
      <c r="F2832" s="16"/>
      <c r="G2832" s="16"/>
      <c r="H2832" s="16"/>
      <c r="I2832" s="16"/>
      <c r="J2832" s="16"/>
      <c r="K2832" s="16"/>
      <c r="L2832" s="17"/>
    </row>
    <row r="2833" spans="1:13">
      <c r="A2833" s="14" t="s">
        <v>2018</v>
      </c>
      <c r="D2833" s="18"/>
      <c r="E2833" s="23" t="s">
        <v>95</v>
      </c>
      <c r="F2833" s="364" t="str">
        <f>VLOOKUP($A2833,DATRUB,3,FALSE)</f>
        <v>RUBRO XVIII:</v>
      </c>
      <c r="G2833" s="599" t="str">
        <f>VLOOKUP($A2833,DATRUB,4,FALSE)</f>
        <v>PINTURAS</v>
      </c>
      <c r="H2833" s="599"/>
      <c r="I2833" s="599"/>
      <c r="J2833" s="599"/>
      <c r="K2833" s="599"/>
      <c r="L2833" s="20"/>
    </row>
    <row r="2834" spans="1:13" ht="35.1" customHeight="1">
      <c r="A2834" s="14" t="s">
        <v>2019</v>
      </c>
      <c r="D2834" s="18"/>
      <c r="E2834" s="23" t="s">
        <v>96</v>
      </c>
      <c r="F2834" s="399">
        <f>VLOOKUP($A2834,DATRUB,3,FALSE)</f>
        <v>18.100000000000001</v>
      </c>
      <c r="G2834" s="599" t="str">
        <f>VLOOKUP($A2834,DATRUB,4,FALSE)</f>
        <v>Pintura al látex en muros interiores</v>
      </c>
      <c r="H2834" s="599"/>
      <c r="I2834" s="599"/>
      <c r="J2834" s="599"/>
      <c r="K2834" s="599"/>
      <c r="L2834" s="20"/>
    </row>
    <row r="2835" spans="1:13" ht="35.1" customHeight="1">
      <c r="A2835" s="14" t="s">
        <v>2019</v>
      </c>
      <c r="D2835" s="18"/>
      <c r="E2835" s="23" t="s">
        <v>97</v>
      </c>
      <c r="F2835" s="399">
        <f>VLOOKUP($A2835,DATRUB,3,FALSE)</f>
        <v>18.100000000000001</v>
      </c>
      <c r="G2835" s="599" t="str">
        <f>VLOOKUP($A2835,DATRUB,4,FALSE)</f>
        <v>Pintura al látex en muros interiores</v>
      </c>
      <c r="H2835" s="599"/>
      <c r="I2835" s="599"/>
      <c r="J2835" s="599"/>
      <c r="K2835" s="599"/>
      <c r="L2835" s="20"/>
    </row>
    <row r="2836" spans="1:13">
      <c r="D2836" s="18"/>
      <c r="E2836" s="23" t="s">
        <v>98</v>
      </c>
      <c r="F2836" s="364" t="str">
        <f>VLOOKUP($A2835,DATRUB,5,FALSE)</f>
        <v>m2</v>
      </c>
      <c r="G2836" s="600"/>
      <c r="H2836" s="600"/>
      <c r="I2836" s="600"/>
      <c r="J2836" s="600"/>
      <c r="K2836" s="600"/>
      <c r="L2836" s="20"/>
    </row>
    <row r="2837" spans="1:13">
      <c r="D2837" s="18"/>
      <c r="E2837" s="364" t="s">
        <v>1158</v>
      </c>
      <c r="F2837" s="363" t="s">
        <v>1250</v>
      </c>
      <c r="G2837" s="364" t="s">
        <v>24</v>
      </c>
      <c r="H2837" s="364" t="s">
        <v>25</v>
      </c>
      <c r="I2837" s="364" t="s">
        <v>24</v>
      </c>
      <c r="J2837" s="364" t="s">
        <v>2298</v>
      </c>
      <c r="K2837" s="364" t="s">
        <v>24</v>
      </c>
      <c r="L2837" s="20"/>
    </row>
    <row r="2838" spans="1:13">
      <c r="D2838" s="18"/>
      <c r="E2838" s="593" t="s">
        <v>99</v>
      </c>
      <c r="F2838" s="594"/>
      <c r="G2838" s="594"/>
      <c r="H2838" s="594"/>
      <c r="I2838" s="594"/>
      <c r="J2838" s="594"/>
      <c r="K2838" s="595"/>
      <c r="L2838" s="20"/>
    </row>
    <row r="2839" spans="1:13">
      <c r="A2839" s="14" t="s">
        <v>2498</v>
      </c>
      <c r="D2839" s="18">
        <v>1</v>
      </c>
      <c r="E2839" s="355" t="str">
        <f t="shared" ref="E2839:E2858" si="540">VLOOKUP($A2839,MATMO,2,FALSE)</f>
        <v>Látex Int. Ext. T Pinturas</v>
      </c>
      <c r="F2839" s="356">
        <v>0.3</v>
      </c>
      <c r="G2839" s="357" t="str">
        <f t="shared" ref="G2839:G2858" si="541">VLOOKUP($A2839,MATMO,3,FALSE)</f>
        <v>lts</v>
      </c>
      <c r="H2839" s="358">
        <f t="shared" ref="H2839:H2858" si="542">VLOOKUP($A2839,MATMO,4,FALSE)*$Q$6</f>
        <v>58.801652892561982</v>
      </c>
      <c r="I2839" s="359" t="str">
        <f t="shared" ref="I2839:I2858" si="543">+G2839</f>
        <v>lts</v>
      </c>
      <c r="J2839" s="361">
        <f>+H2839*F2839</f>
        <v>17.640495867768593</v>
      </c>
      <c r="K2839" s="360" t="s">
        <v>2299</v>
      </c>
      <c r="L2839" s="20"/>
      <c r="M2839" s="14" t="s">
        <v>2005</v>
      </c>
    </row>
    <row r="2840" spans="1:13">
      <c r="A2840" s="14" t="s">
        <v>2499</v>
      </c>
      <c r="D2840" s="18">
        <v>2</v>
      </c>
      <c r="E2840" s="26" t="str">
        <f t="shared" si="540"/>
        <v>Fijador T. Pinturas</v>
      </c>
      <c r="F2840" s="311">
        <v>0.01</v>
      </c>
      <c r="G2840" s="307" t="str">
        <f t="shared" si="541"/>
        <v>lts</v>
      </c>
      <c r="H2840" s="351">
        <f t="shared" si="542"/>
        <v>31.473966942148756</v>
      </c>
      <c r="I2840" s="354" t="str">
        <f t="shared" si="543"/>
        <v>lts</v>
      </c>
      <c r="J2840" s="350">
        <f t="shared" ref="J2840:J2858" si="544">+H2840*F2840</f>
        <v>0.31473966942148757</v>
      </c>
      <c r="K2840" s="360" t="s">
        <v>2299</v>
      </c>
      <c r="L2840" s="20"/>
    </row>
    <row r="2841" spans="1:13">
      <c r="A2841" s="14" t="s">
        <v>2500</v>
      </c>
      <c r="D2841" s="18">
        <v>3</v>
      </c>
      <c r="E2841" s="26" t="str">
        <f t="shared" si="540"/>
        <v>Pincel</v>
      </c>
      <c r="F2841" s="311">
        <v>0.02</v>
      </c>
      <c r="G2841" s="307" t="str">
        <f t="shared" si="541"/>
        <v>un</v>
      </c>
      <c r="H2841" s="351">
        <f t="shared" si="542"/>
        <v>63.63636363636364</v>
      </c>
      <c r="I2841" s="354" t="str">
        <f t="shared" si="543"/>
        <v>un</v>
      </c>
      <c r="J2841" s="350">
        <f t="shared" si="544"/>
        <v>1.2727272727272729</v>
      </c>
      <c r="K2841" s="360" t="s">
        <v>2299</v>
      </c>
      <c r="L2841" s="20"/>
    </row>
    <row r="2842" spans="1:13">
      <c r="A2842" s="14" t="s">
        <v>2501</v>
      </c>
      <c r="D2842" s="18">
        <v>4</v>
      </c>
      <c r="E2842" s="26" t="str">
        <f t="shared" si="540"/>
        <v>Rodillo Lana</v>
      </c>
      <c r="F2842" s="311">
        <v>0.02</v>
      </c>
      <c r="G2842" s="307" t="str">
        <f t="shared" si="541"/>
        <v>un</v>
      </c>
      <c r="H2842" s="351">
        <f t="shared" si="542"/>
        <v>63.63636363636364</v>
      </c>
      <c r="I2842" s="354" t="str">
        <f t="shared" si="543"/>
        <v>un</v>
      </c>
      <c r="J2842" s="350">
        <f t="shared" si="544"/>
        <v>1.2727272727272729</v>
      </c>
      <c r="K2842" s="360" t="s">
        <v>2299</v>
      </c>
      <c r="L2842" s="20"/>
    </row>
    <row r="2843" spans="1:13">
      <c r="A2843" s="14" t="s">
        <v>2502</v>
      </c>
      <c r="D2843" s="18">
        <v>5</v>
      </c>
      <c r="E2843" s="26" t="str">
        <f t="shared" si="540"/>
        <v>Enduido Acrílico</v>
      </c>
      <c r="F2843" s="311">
        <v>1</v>
      </c>
      <c r="G2843" s="307" t="str">
        <f t="shared" si="541"/>
        <v>kg</v>
      </c>
      <c r="H2843" s="351">
        <f t="shared" si="542"/>
        <v>13.553719008264464</v>
      </c>
      <c r="I2843" s="354" t="str">
        <f t="shared" si="543"/>
        <v>kg</v>
      </c>
      <c r="J2843" s="350">
        <f t="shared" si="544"/>
        <v>13.553719008264464</v>
      </c>
      <c r="K2843" s="360" t="s">
        <v>2299</v>
      </c>
      <c r="L2843" s="20"/>
    </row>
    <row r="2844" spans="1:13">
      <c r="A2844" s="14" t="s">
        <v>2503</v>
      </c>
      <c r="D2844" s="18">
        <v>6</v>
      </c>
      <c r="E2844" s="26" t="str">
        <f t="shared" si="540"/>
        <v>Yeso tipo Paris</v>
      </c>
      <c r="F2844" s="311">
        <v>0.3</v>
      </c>
      <c r="G2844" s="307" t="str">
        <f t="shared" si="541"/>
        <v>kg</v>
      </c>
      <c r="H2844" s="351">
        <f t="shared" si="542"/>
        <v>7.5</v>
      </c>
      <c r="I2844" s="354" t="str">
        <f t="shared" si="543"/>
        <v>kg</v>
      </c>
      <c r="J2844" s="350">
        <f t="shared" si="544"/>
        <v>2.25</v>
      </c>
      <c r="K2844" s="360" t="s">
        <v>2299</v>
      </c>
      <c r="L2844" s="20"/>
    </row>
    <row r="2845" spans="1:13">
      <c r="A2845" s="14" t="s">
        <v>31</v>
      </c>
      <c r="D2845" s="18">
        <v>7</v>
      </c>
      <c r="E2845" s="26" t="str">
        <f t="shared" si="540"/>
        <v>-</v>
      </c>
      <c r="F2845" s="311"/>
      <c r="G2845" s="307" t="str">
        <f t="shared" si="541"/>
        <v>-</v>
      </c>
      <c r="H2845" s="351">
        <f t="shared" si="542"/>
        <v>0</v>
      </c>
      <c r="I2845" s="537" t="str">
        <f t="shared" si="543"/>
        <v>-</v>
      </c>
      <c r="J2845" s="538">
        <f t="shared" si="544"/>
        <v>0</v>
      </c>
      <c r="K2845" s="539" t="s">
        <v>2299</v>
      </c>
      <c r="L2845" s="20"/>
    </row>
    <row r="2846" spans="1:13">
      <c r="A2846" s="14" t="s">
        <v>31</v>
      </c>
      <c r="D2846" s="18">
        <v>8</v>
      </c>
      <c r="E2846" s="26" t="str">
        <f t="shared" si="540"/>
        <v>-</v>
      </c>
      <c r="F2846" s="311"/>
      <c r="G2846" s="307" t="str">
        <f t="shared" si="541"/>
        <v>-</v>
      </c>
      <c r="H2846" s="351">
        <f t="shared" si="542"/>
        <v>0</v>
      </c>
      <c r="I2846" s="537" t="str">
        <f t="shared" si="543"/>
        <v>-</v>
      </c>
      <c r="J2846" s="538">
        <f t="shared" si="544"/>
        <v>0</v>
      </c>
      <c r="K2846" s="539" t="s">
        <v>2299</v>
      </c>
      <c r="L2846" s="20"/>
    </row>
    <row r="2847" spans="1:13">
      <c r="A2847" s="14" t="s">
        <v>31</v>
      </c>
      <c r="D2847" s="18">
        <v>9</v>
      </c>
      <c r="E2847" s="26" t="str">
        <f t="shared" si="540"/>
        <v>-</v>
      </c>
      <c r="F2847" s="311"/>
      <c r="G2847" s="307" t="str">
        <f t="shared" si="541"/>
        <v>-</v>
      </c>
      <c r="H2847" s="351">
        <f t="shared" si="542"/>
        <v>0</v>
      </c>
      <c r="I2847" s="537" t="str">
        <f t="shared" si="543"/>
        <v>-</v>
      </c>
      <c r="J2847" s="538">
        <f t="shared" si="544"/>
        <v>0</v>
      </c>
      <c r="K2847" s="539" t="s">
        <v>2299</v>
      </c>
      <c r="L2847" s="20"/>
    </row>
    <row r="2848" spans="1:13">
      <c r="A2848" s="14" t="s">
        <v>31</v>
      </c>
      <c r="D2848" s="18">
        <v>10</v>
      </c>
      <c r="E2848" s="26" t="str">
        <f t="shared" si="540"/>
        <v>-</v>
      </c>
      <c r="F2848" s="311"/>
      <c r="G2848" s="307" t="str">
        <f t="shared" si="541"/>
        <v>-</v>
      </c>
      <c r="H2848" s="351">
        <f t="shared" si="542"/>
        <v>0</v>
      </c>
      <c r="I2848" s="537" t="str">
        <f t="shared" si="543"/>
        <v>-</v>
      </c>
      <c r="J2848" s="538">
        <f t="shared" si="544"/>
        <v>0</v>
      </c>
      <c r="K2848" s="539" t="s">
        <v>2299</v>
      </c>
      <c r="L2848" s="20"/>
    </row>
    <row r="2849" spans="1:16">
      <c r="A2849" s="14" t="s">
        <v>31</v>
      </c>
      <c r="D2849" s="18">
        <v>11</v>
      </c>
      <c r="E2849" s="26" t="str">
        <f t="shared" si="540"/>
        <v>-</v>
      </c>
      <c r="F2849" s="311"/>
      <c r="G2849" s="307" t="str">
        <f t="shared" si="541"/>
        <v>-</v>
      </c>
      <c r="H2849" s="351">
        <f t="shared" si="542"/>
        <v>0</v>
      </c>
      <c r="I2849" s="537" t="str">
        <f t="shared" si="543"/>
        <v>-</v>
      </c>
      <c r="J2849" s="538">
        <f t="shared" si="544"/>
        <v>0</v>
      </c>
      <c r="K2849" s="539" t="s">
        <v>2299</v>
      </c>
      <c r="L2849" s="20"/>
    </row>
    <row r="2850" spans="1:16">
      <c r="A2850" s="14" t="s">
        <v>31</v>
      </c>
      <c r="D2850" s="18">
        <v>12</v>
      </c>
      <c r="E2850" s="26" t="str">
        <f t="shared" si="540"/>
        <v>-</v>
      </c>
      <c r="F2850" s="311"/>
      <c r="G2850" s="307" t="str">
        <f t="shared" si="541"/>
        <v>-</v>
      </c>
      <c r="H2850" s="352">
        <f t="shared" si="542"/>
        <v>0</v>
      </c>
      <c r="I2850" s="537" t="str">
        <f t="shared" si="543"/>
        <v>-</v>
      </c>
      <c r="J2850" s="538">
        <f t="shared" si="544"/>
        <v>0</v>
      </c>
      <c r="K2850" s="539" t="s">
        <v>2299</v>
      </c>
      <c r="L2850" s="20"/>
    </row>
    <row r="2851" spans="1:16">
      <c r="A2851" s="14" t="s">
        <v>31</v>
      </c>
      <c r="D2851" s="18">
        <v>13</v>
      </c>
      <c r="E2851" s="26" t="str">
        <f t="shared" si="540"/>
        <v>-</v>
      </c>
      <c r="F2851" s="311"/>
      <c r="G2851" s="307" t="str">
        <f t="shared" si="541"/>
        <v>-</v>
      </c>
      <c r="H2851" s="352">
        <f t="shared" si="542"/>
        <v>0</v>
      </c>
      <c r="I2851" s="537" t="str">
        <f t="shared" si="543"/>
        <v>-</v>
      </c>
      <c r="J2851" s="538">
        <f t="shared" si="544"/>
        <v>0</v>
      </c>
      <c r="K2851" s="539" t="s">
        <v>2299</v>
      </c>
      <c r="L2851" s="20"/>
    </row>
    <row r="2852" spans="1:16">
      <c r="A2852" s="14" t="s">
        <v>31</v>
      </c>
      <c r="D2852" s="18">
        <v>14</v>
      </c>
      <c r="E2852" s="26" t="str">
        <f t="shared" si="540"/>
        <v>-</v>
      </c>
      <c r="F2852" s="311"/>
      <c r="G2852" s="307" t="str">
        <f t="shared" si="541"/>
        <v>-</v>
      </c>
      <c r="H2852" s="352">
        <f t="shared" si="542"/>
        <v>0</v>
      </c>
      <c r="I2852" s="537" t="str">
        <f t="shared" si="543"/>
        <v>-</v>
      </c>
      <c r="J2852" s="538">
        <f t="shared" si="544"/>
        <v>0</v>
      </c>
      <c r="K2852" s="539" t="s">
        <v>2299</v>
      </c>
      <c r="L2852" s="20"/>
    </row>
    <row r="2853" spans="1:16">
      <c r="A2853" s="14" t="s">
        <v>31</v>
      </c>
      <c r="D2853" s="18">
        <v>15</v>
      </c>
      <c r="E2853" s="26" t="str">
        <f t="shared" si="540"/>
        <v>-</v>
      </c>
      <c r="F2853" s="311"/>
      <c r="G2853" s="307" t="str">
        <f t="shared" si="541"/>
        <v>-</v>
      </c>
      <c r="H2853" s="352">
        <f t="shared" si="542"/>
        <v>0</v>
      </c>
      <c r="I2853" s="537" t="str">
        <f t="shared" si="543"/>
        <v>-</v>
      </c>
      <c r="J2853" s="538">
        <f t="shared" si="544"/>
        <v>0</v>
      </c>
      <c r="K2853" s="539" t="s">
        <v>2299</v>
      </c>
      <c r="L2853" s="20"/>
    </row>
    <row r="2854" spans="1:16">
      <c r="A2854" s="14" t="s">
        <v>31</v>
      </c>
      <c r="D2854" s="18">
        <v>16</v>
      </c>
      <c r="E2854" s="26" t="str">
        <f t="shared" si="540"/>
        <v>-</v>
      </c>
      <c r="F2854" s="311"/>
      <c r="G2854" s="307" t="str">
        <f t="shared" si="541"/>
        <v>-</v>
      </c>
      <c r="H2854" s="352">
        <f t="shared" si="542"/>
        <v>0</v>
      </c>
      <c r="I2854" s="537" t="str">
        <f t="shared" si="543"/>
        <v>-</v>
      </c>
      <c r="J2854" s="538">
        <f t="shared" si="544"/>
        <v>0</v>
      </c>
      <c r="K2854" s="539" t="s">
        <v>2299</v>
      </c>
      <c r="L2854" s="20"/>
    </row>
    <row r="2855" spans="1:16">
      <c r="A2855" s="14" t="s">
        <v>31</v>
      </c>
      <c r="D2855" s="18">
        <v>17</v>
      </c>
      <c r="E2855" s="26" t="str">
        <f t="shared" si="540"/>
        <v>-</v>
      </c>
      <c r="F2855" s="311"/>
      <c r="G2855" s="307" t="str">
        <f t="shared" si="541"/>
        <v>-</v>
      </c>
      <c r="H2855" s="352">
        <f t="shared" si="542"/>
        <v>0</v>
      </c>
      <c r="I2855" s="537" t="str">
        <f t="shared" si="543"/>
        <v>-</v>
      </c>
      <c r="J2855" s="538">
        <f t="shared" si="544"/>
        <v>0</v>
      </c>
      <c r="K2855" s="539" t="s">
        <v>2299</v>
      </c>
      <c r="L2855" s="20"/>
    </row>
    <row r="2856" spans="1:16">
      <c r="A2856" s="14" t="s">
        <v>31</v>
      </c>
      <c r="D2856" s="18">
        <v>18</v>
      </c>
      <c r="E2856" s="26" t="str">
        <f t="shared" si="540"/>
        <v>-</v>
      </c>
      <c r="F2856" s="311"/>
      <c r="G2856" s="307" t="str">
        <f t="shared" si="541"/>
        <v>-</v>
      </c>
      <c r="H2856" s="352">
        <f t="shared" si="542"/>
        <v>0</v>
      </c>
      <c r="I2856" s="537" t="str">
        <f t="shared" si="543"/>
        <v>-</v>
      </c>
      <c r="J2856" s="538">
        <f t="shared" si="544"/>
        <v>0</v>
      </c>
      <c r="K2856" s="539" t="s">
        <v>2299</v>
      </c>
      <c r="L2856" s="20"/>
    </row>
    <row r="2857" spans="1:16">
      <c r="A2857" s="14" t="s">
        <v>31</v>
      </c>
      <c r="D2857" s="18">
        <v>19</v>
      </c>
      <c r="E2857" s="26" t="str">
        <f t="shared" si="540"/>
        <v>-</v>
      </c>
      <c r="F2857" s="311"/>
      <c r="G2857" s="307" t="str">
        <f t="shared" si="541"/>
        <v>-</v>
      </c>
      <c r="H2857" s="352">
        <f t="shared" si="542"/>
        <v>0</v>
      </c>
      <c r="I2857" s="537" t="str">
        <f t="shared" si="543"/>
        <v>-</v>
      </c>
      <c r="J2857" s="538">
        <f t="shared" si="544"/>
        <v>0</v>
      </c>
      <c r="K2857" s="539" t="s">
        <v>2299</v>
      </c>
      <c r="L2857" s="20"/>
    </row>
    <row r="2858" spans="1:16">
      <c r="A2858" s="14" t="s">
        <v>31</v>
      </c>
      <c r="D2858" s="18">
        <v>20</v>
      </c>
      <c r="E2858" s="26" t="str">
        <f t="shared" si="540"/>
        <v>-</v>
      </c>
      <c r="F2858" s="311"/>
      <c r="G2858" s="307" t="str">
        <f t="shared" si="541"/>
        <v>-</v>
      </c>
      <c r="H2858" s="352">
        <f t="shared" si="542"/>
        <v>0</v>
      </c>
      <c r="I2858" s="537" t="str">
        <f t="shared" si="543"/>
        <v>-</v>
      </c>
      <c r="J2858" s="541">
        <f t="shared" si="544"/>
        <v>0</v>
      </c>
      <c r="K2858" s="539" t="s">
        <v>2299</v>
      </c>
      <c r="L2858" s="20"/>
    </row>
    <row r="2859" spans="1:16">
      <c r="A2859" s="14">
        <f>A2826+1</f>
        <v>61</v>
      </c>
      <c r="B2859" s="14" t="str">
        <f>"MA" &amp; TEXT(A2859,"##000")</f>
        <v>MA061</v>
      </c>
      <c r="D2859" s="18"/>
      <c r="E2859" s="591" t="s">
        <v>2302</v>
      </c>
      <c r="F2859" s="592"/>
      <c r="G2859" s="592"/>
      <c r="H2859" s="592"/>
      <c r="I2859" s="328"/>
      <c r="J2859" s="353">
        <f>SUM(J2839:J2858)</f>
        <v>36.30440909090909</v>
      </c>
      <c r="K2859" s="365" t="str">
        <f>+F2836</f>
        <v>m2</v>
      </c>
      <c r="L2859" s="20"/>
      <c r="O2859" s="27" t="s">
        <v>1525</v>
      </c>
      <c r="P2859" s="110">
        <v>80</v>
      </c>
    </row>
    <row r="2860" spans="1:16">
      <c r="D2860" s="18"/>
      <c r="E2860" s="593" t="s">
        <v>100</v>
      </c>
      <c r="F2860" s="594"/>
      <c r="G2860" s="594"/>
      <c r="H2860" s="594"/>
      <c r="I2860" s="594"/>
      <c r="J2860" s="595"/>
      <c r="K2860" s="347"/>
      <c r="L2860" s="20"/>
      <c r="O2860" s="27" t="s">
        <v>1524</v>
      </c>
      <c r="P2860" s="110">
        <v>0</v>
      </c>
    </row>
    <row r="2861" spans="1:16">
      <c r="A2861" s="14" t="s">
        <v>84</v>
      </c>
      <c r="D2861" s="18">
        <v>1</v>
      </c>
      <c r="E2861" s="26" t="str">
        <f>VLOOKUP($A2861,MATMO,2,FALSE)</f>
        <v>Oficial</v>
      </c>
      <c r="F2861" s="311">
        <v>1</v>
      </c>
      <c r="G2861" s="307" t="str">
        <f>VLOOKUP($A2861,MATMO,3,FALSE)</f>
        <v>hs</v>
      </c>
      <c r="H2861" s="110">
        <f>VLOOKUP($A2861,MATMO,4,FALSE)*$Q$7</f>
        <v>55.38</v>
      </c>
      <c r="I2861" s="354" t="str">
        <f t="shared" ref="I2861:I2865" si="545">+G2861</f>
        <v>hs</v>
      </c>
      <c r="J2861" s="350">
        <f t="shared" ref="J2861:J2865" si="546">+H2861*F2861</f>
        <v>55.38</v>
      </c>
      <c r="K2861" s="360" t="s">
        <v>2299</v>
      </c>
      <c r="L2861" s="20"/>
      <c r="M2861" s="14" t="s">
        <v>2006</v>
      </c>
      <c r="O2861" s="27" t="s">
        <v>1526</v>
      </c>
      <c r="P2861" s="110">
        <v>0</v>
      </c>
    </row>
    <row r="2862" spans="1:16">
      <c r="A2862" s="14" t="s">
        <v>85</v>
      </c>
      <c r="D2862" s="18">
        <v>2</v>
      </c>
      <c r="E2862" s="26" t="str">
        <f>VLOOKUP($A2862,MATMO,2,FALSE)</f>
        <v>Ayudante</v>
      </c>
      <c r="F2862" s="311">
        <v>0.5</v>
      </c>
      <c r="G2862" s="307" t="str">
        <f>VLOOKUP($A2862,MATMO,3,FALSE)</f>
        <v>hs</v>
      </c>
      <c r="H2862" s="110">
        <f>VLOOKUP($A2862,MATMO,4,FALSE)*$Q$7</f>
        <v>46.87</v>
      </c>
      <c r="I2862" s="354" t="str">
        <f t="shared" si="545"/>
        <v>hs</v>
      </c>
      <c r="J2862" s="350">
        <f t="shared" si="546"/>
        <v>23.434999999999999</v>
      </c>
      <c r="K2862" s="360" t="s">
        <v>2299</v>
      </c>
      <c r="L2862" s="20"/>
      <c r="O2862" s="27" t="s">
        <v>1527</v>
      </c>
      <c r="P2862" s="110">
        <v>0</v>
      </c>
    </row>
    <row r="2863" spans="1:16">
      <c r="A2863" s="14" t="s">
        <v>2311</v>
      </c>
      <c r="D2863" s="18">
        <v>3</v>
      </c>
      <c r="E2863" s="26" t="str">
        <f>VLOOKUP($A2863,MATMO,2,FALSE)</f>
        <v>Cargas Sociales Oficial</v>
      </c>
      <c r="F2863" s="311">
        <f>+F2861</f>
        <v>1</v>
      </c>
      <c r="G2863" s="307" t="str">
        <f>VLOOKUP($A2863,MATMO,3,FALSE)</f>
        <v>hs</v>
      </c>
      <c r="H2863" s="110">
        <f>VLOOKUP($A2863,MATMO,4,FALSE)*$Q$7</f>
        <v>52.742782499999997</v>
      </c>
      <c r="I2863" s="354" t="str">
        <f t="shared" si="545"/>
        <v>hs</v>
      </c>
      <c r="J2863" s="350">
        <f t="shared" si="546"/>
        <v>52.742782499999997</v>
      </c>
      <c r="K2863" s="360" t="s">
        <v>2299</v>
      </c>
      <c r="L2863" s="20"/>
      <c r="O2863" s="27"/>
      <c r="P2863" s="110">
        <v>0</v>
      </c>
    </row>
    <row r="2864" spans="1:16">
      <c r="A2864" s="14" t="s">
        <v>2312</v>
      </c>
      <c r="D2864" s="18">
        <v>4</v>
      </c>
      <c r="E2864" s="26" t="str">
        <f>VLOOKUP($A2864,MATMO,2,FALSE)</f>
        <v>Cargas Sociales Ayudante</v>
      </c>
      <c r="F2864" s="311">
        <f>+F2862</f>
        <v>0.5</v>
      </c>
      <c r="G2864" s="307" t="str">
        <f>VLOOKUP($A2864,MATMO,3,FALSE)</f>
        <v>hs</v>
      </c>
      <c r="H2864" s="110">
        <f>VLOOKUP($A2864,MATMO,4,FALSE)*$Q$7</f>
        <v>45.108248750000001</v>
      </c>
      <c r="I2864" s="354" t="str">
        <f t="shared" si="545"/>
        <v>hs</v>
      </c>
      <c r="J2864" s="350">
        <f t="shared" si="546"/>
        <v>22.554124375000001</v>
      </c>
      <c r="K2864" s="360" t="s">
        <v>2299</v>
      </c>
      <c r="L2864" s="20"/>
      <c r="O2864" s="27"/>
      <c r="P2864" s="110">
        <v>0</v>
      </c>
    </row>
    <row r="2865" spans="1:19" ht="16.5" thickBot="1">
      <c r="A2865" s="14" t="s">
        <v>83</v>
      </c>
      <c r="D2865" s="18">
        <v>5</v>
      </c>
      <c r="E2865" s="26" t="str">
        <f>VLOOKUP($A2865,MATMO,2,FALSE)</f>
        <v>-</v>
      </c>
      <c r="F2865" s="311"/>
      <c r="G2865" s="307" t="str">
        <f>VLOOKUP($A2865,MATMO,3,FALSE)</f>
        <v>-</v>
      </c>
      <c r="H2865" s="110">
        <f>VLOOKUP($A2865,MATMO,4,FALSE)*$Q$7</f>
        <v>0</v>
      </c>
      <c r="I2865" s="537" t="str">
        <f t="shared" si="545"/>
        <v>-</v>
      </c>
      <c r="J2865" s="538">
        <f t="shared" si="546"/>
        <v>0</v>
      </c>
      <c r="K2865" s="539" t="s">
        <v>2299</v>
      </c>
      <c r="L2865" s="20"/>
      <c r="O2865" s="27"/>
      <c r="P2865" s="110">
        <v>0</v>
      </c>
      <c r="R2865" s="29" t="s">
        <v>2307</v>
      </c>
    </row>
    <row r="2866" spans="1:19" ht="16.5" thickBot="1">
      <c r="A2866" s="14">
        <f>A2826+1</f>
        <v>61</v>
      </c>
      <c r="B2866" s="14" t="str">
        <f>"MO" &amp; TEXT(A2866,"##000")</f>
        <v>MO061</v>
      </c>
      <c r="D2866" s="18"/>
      <c r="E2866" s="591" t="s">
        <v>2301</v>
      </c>
      <c r="F2866" s="592"/>
      <c r="G2866" s="592"/>
      <c r="H2866" s="592"/>
      <c r="I2866" s="328"/>
      <c r="J2866" s="362">
        <f>SUM(J2861:J2865)</f>
        <v>154.11190687499999</v>
      </c>
      <c r="K2866" s="365" t="str">
        <f>+G2861</f>
        <v>hs</v>
      </c>
      <c r="L2866" s="20"/>
      <c r="N2866" s="111">
        <f>+P2866+R2866</f>
        <v>152</v>
      </c>
      <c r="O2866" s="27"/>
      <c r="P2866" s="27">
        <f>SUM(P2859:P2865)</f>
        <v>80</v>
      </c>
      <c r="Q2866" s="26">
        <v>0.9</v>
      </c>
      <c r="R2866" s="287">
        <f>+Q2866*P2866</f>
        <v>72</v>
      </c>
      <c r="S2866" s="288"/>
    </row>
    <row r="2867" spans="1:19">
      <c r="D2867" s="18"/>
      <c r="E2867" s="593" t="s">
        <v>101</v>
      </c>
      <c r="F2867" s="594"/>
      <c r="G2867" s="594"/>
      <c r="H2867" s="594"/>
      <c r="I2867" s="594"/>
      <c r="J2867" s="595"/>
      <c r="K2867" s="347"/>
      <c r="L2867" s="20"/>
      <c r="P2867" s="14" t="s">
        <v>2308</v>
      </c>
    </row>
    <row r="2868" spans="1:19">
      <c r="A2868" s="14" t="s">
        <v>119</v>
      </c>
      <c r="D2868" s="18">
        <v>1</v>
      </c>
      <c r="E2868" s="26" t="str">
        <f>VLOOKUP($A2868,MATMO,2,FALSE)</f>
        <v>Herramientas de Mano</v>
      </c>
      <c r="F2868" s="311">
        <v>1</v>
      </c>
      <c r="G2868" s="307" t="str">
        <f>VLOOKUP($A2868,MATMO,3,FALSE)</f>
        <v>gl</v>
      </c>
      <c r="H2868" s="110">
        <f>+(J2859+J2866)*$Q$5</f>
        <v>7.6166526386363627</v>
      </c>
      <c r="I2868" s="345" t="str">
        <f>+G2868</f>
        <v>gl</v>
      </c>
      <c r="J2868" s="350">
        <f t="shared" ref="J2868:J2872" si="547">+H2868*F2868</f>
        <v>7.6166526386363627</v>
      </c>
      <c r="K2868" s="360" t="s">
        <v>2299</v>
      </c>
      <c r="L2868" s="20"/>
      <c r="M2868" s="14" t="s">
        <v>2004</v>
      </c>
    </row>
    <row r="2869" spans="1:19">
      <c r="A2869" s="14" t="s">
        <v>118</v>
      </c>
      <c r="D2869" s="18">
        <v>2</v>
      </c>
      <c r="E2869" s="26" t="str">
        <f>VLOOKUP($A2869,MATMO,2,FALSE)</f>
        <v>-</v>
      </c>
      <c r="F2869" s="311"/>
      <c r="G2869" s="307" t="str">
        <f>VLOOKUP($A2869,MATMO,3,FALSE)</f>
        <v>-</v>
      </c>
      <c r="H2869" s="110">
        <f>VLOOKUP($A2869,MATMO,4,FALSE)*$Q$6</f>
        <v>0</v>
      </c>
      <c r="I2869" s="543" t="str">
        <f t="shared" ref="I2869:I2872" si="548">+G2869</f>
        <v>-</v>
      </c>
      <c r="J2869" s="538">
        <f t="shared" si="547"/>
        <v>0</v>
      </c>
      <c r="K2869" s="539" t="s">
        <v>2299</v>
      </c>
      <c r="L2869" s="20"/>
    </row>
    <row r="2870" spans="1:19">
      <c r="A2870" s="14" t="s">
        <v>118</v>
      </c>
      <c r="D2870" s="18">
        <v>3</v>
      </c>
      <c r="E2870" s="26" t="str">
        <f>VLOOKUP($A2870,MATMO,2,FALSE)</f>
        <v>-</v>
      </c>
      <c r="F2870" s="311"/>
      <c r="G2870" s="307" t="str">
        <f>VLOOKUP($A2870,MATMO,3,FALSE)</f>
        <v>-</v>
      </c>
      <c r="H2870" s="110">
        <f>VLOOKUP($A2870,MATMO,4,FALSE)*$Q$6</f>
        <v>0</v>
      </c>
      <c r="I2870" s="543" t="str">
        <f t="shared" si="548"/>
        <v>-</v>
      </c>
      <c r="J2870" s="538">
        <f t="shared" si="547"/>
        <v>0</v>
      </c>
      <c r="K2870" s="539" t="s">
        <v>2299</v>
      </c>
      <c r="L2870" s="20"/>
    </row>
    <row r="2871" spans="1:19">
      <c r="A2871" s="14" t="s">
        <v>118</v>
      </c>
      <c r="D2871" s="18">
        <v>4</v>
      </c>
      <c r="E2871" s="26" t="str">
        <f>VLOOKUP($A2871,MATMO,2,FALSE)</f>
        <v>-</v>
      </c>
      <c r="F2871" s="311"/>
      <c r="G2871" s="307" t="str">
        <f>VLOOKUP($A2871,MATMO,3,FALSE)</f>
        <v>-</v>
      </c>
      <c r="H2871" s="110">
        <f>VLOOKUP($A2871,MATMO,4,FALSE)*$Q$6</f>
        <v>0</v>
      </c>
      <c r="I2871" s="543" t="str">
        <f t="shared" si="548"/>
        <v>-</v>
      </c>
      <c r="J2871" s="538">
        <f t="shared" si="547"/>
        <v>0</v>
      </c>
      <c r="K2871" s="539" t="s">
        <v>2299</v>
      </c>
      <c r="L2871" s="20"/>
    </row>
    <row r="2872" spans="1:19">
      <c r="A2872" s="14" t="s">
        <v>118</v>
      </c>
      <c r="D2872" s="18">
        <v>5</v>
      </c>
      <c r="E2872" s="26" t="str">
        <f>VLOOKUP($A2872,MATMO,2,FALSE)</f>
        <v>-</v>
      </c>
      <c r="F2872" s="311"/>
      <c r="G2872" s="307" t="str">
        <f>VLOOKUP($A2872,MATMO,3,FALSE)</f>
        <v>-</v>
      </c>
      <c r="H2872" s="110">
        <f>VLOOKUP($A2872,MATMO,4,FALSE)*$Q$6</f>
        <v>0</v>
      </c>
      <c r="I2872" s="543" t="str">
        <f t="shared" si="548"/>
        <v>-</v>
      </c>
      <c r="J2872" s="538">
        <f t="shared" si="547"/>
        <v>0</v>
      </c>
      <c r="K2872" s="539" t="s">
        <v>2299</v>
      </c>
      <c r="L2872" s="20"/>
    </row>
    <row r="2873" spans="1:19">
      <c r="A2873" s="14">
        <f>A2826+1</f>
        <v>61</v>
      </c>
      <c r="B2873" s="14" t="str">
        <f>"E" &amp; TEXT(A2873,"##000")</f>
        <v>E061</v>
      </c>
      <c r="D2873" s="18"/>
      <c r="E2873" s="591" t="s">
        <v>2300</v>
      </c>
      <c r="F2873" s="592"/>
      <c r="G2873" s="592"/>
      <c r="H2873" s="592"/>
      <c r="I2873" s="328"/>
      <c r="J2873" s="362">
        <f>SUM(J2868:J2872)</f>
        <v>7.6166526386363627</v>
      </c>
      <c r="K2873" s="365" t="s">
        <v>116</v>
      </c>
      <c r="L2873" s="20"/>
    </row>
    <row r="2874" spans="1:19">
      <c r="D2874" s="18"/>
      <c r="E2874" s="596"/>
      <c r="F2874" s="597"/>
      <c r="G2874" s="597"/>
      <c r="H2874" s="597"/>
      <c r="I2874" s="597"/>
      <c r="J2874" s="598"/>
      <c r="K2874" s="348"/>
      <c r="L2874" s="20"/>
    </row>
    <row r="2875" spans="1:19">
      <c r="D2875" s="18"/>
      <c r="E2875" s="591" t="s">
        <v>2306</v>
      </c>
      <c r="F2875" s="592"/>
      <c r="G2875" s="592"/>
      <c r="H2875" s="592"/>
      <c r="I2875" s="328"/>
      <c r="J2875" s="308">
        <f>+J2873+J2866+J2859</f>
        <v>198.03296860454543</v>
      </c>
      <c r="K2875" s="365" t="str">
        <f>+F2836</f>
        <v>m2</v>
      </c>
      <c r="L2875" s="20"/>
    </row>
    <row r="2876" spans="1:19">
      <c r="D2876" s="18"/>
      <c r="E2876" s="591" t="s">
        <v>2305</v>
      </c>
      <c r="F2876" s="592"/>
      <c r="G2876" s="592"/>
      <c r="H2876" s="592"/>
      <c r="I2876" s="406">
        <f>+$Q$9</f>
        <v>1.6902999999999999</v>
      </c>
      <c r="J2876" s="308">
        <f>+$Q$9*J2875</f>
        <v>334.73512683226312</v>
      </c>
      <c r="K2876" s="365" t="str">
        <f>+F2836</f>
        <v>m2</v>
      </c>
      <c r="L2876" s="20"/>
    </row>
    <row r="2877" spans="1:19">
      <c r="A2877" s="14">
        <f>A2830+1</f>
        <v>61</v>
      </c>
      <c r="B2877" s="14" t="str">
        <f>"TR" &amp; TEXT(A2877,"##000")</f>
        <v>TR061</v>
      </c>
      <c r="C2877" s="14">
        <f>+C2830+1</f>
        <v>61</v>
      </c>
      <c r="D2877" s="18"/>
      <c r="E2877" s="591" t="s">
        <v>2304</v>
      </c>
      <c r="F2877" s="592"/>
      <c r="G2877" s="592"/>
      <c r="H2877" s="592"/>
      <c r="I2877" s="328"/>
      <c r="J2877" s="308">
        <f>+J2876</f>
        <v>334.73512683226312</v>
      </c>
      <c r="K2877" s="365" t="str">
        <f>+F2836</f>
        <v>m2</v>
      </c>
      <c r="L2877" s="20"/>
    </row>
    <row r="2878" spans="1:19" ht="16.5" thickBot="1">
      <c r="D2878" s="21"/>
      <c r="E2878" s="30"/>
      <c r="F2878" s="30"/>
      <c r="G2878" s="30"/>
      <c r="H2878" s="30"/>
      <c r="I2878" s="30"/>
      <c r="J2878" s="30"/>
      <c r="K2878" s="349"/>
      <c r="L2878" s="22"/>
    </row>
    <row r="2879" spans="1:19" ht="16.5" thickTop="1">
      <c r="D2879" s="15"/>
      <c r="E2879" s="16"/>
      <c r="F2879" s="16"/>
      <c r="G2879" s="16"/>
      <c r="H2879" s="16"/>
      <c r="I2879" s="16"/>
      <c r="J2879" s="16"/>
      <c r="K2879" s="16"/>
      <c r="L2879" s="17"/>
    </row>
    <row r="2880" spans="1:19">
      <c r="A2880" s="14" t="s">
        <v>2049</v>
      </c>
      <c r="D2880" s="18"/>
      <c r="E2880" s="23" t="s">
        <v>95</v>
      </c>
      <c r="F2880" s="364" t="str">
        <f>VLOOKUP($A2880,DATRUB,3,FALSE)</f>
        <v>RUBRO XVIII:</v>
      </c>
      <c r="G2880" s="599" t="str">
        <f>VLOOKUP($A2880,DATRUB,4,FALSE)</f>
        <v>PINTURAS</v>
      </c>
      <c r="H2880" s="599"/>
      <c r="I2880" s="599"/>
      <c r="J2880" s="599"/>
      <c r="K2880" s="599"/>
      <c r="L2880" s="20"/>
    </row>
    <row r="2881" spans="1:13" ht="35.1" customHeight="1">
      <c r="A2881" s="14" t="s">
        <v>2330</v>
      </c>
      <c r="D2881" s="18"/>
      <c r="E2881" s="23" t="s">
        <v>96</v>
      </c>
      <c r="F2881" s="399">
        <f>VLOOKUP($A2881,DATRUB,3,FALSE)</f>
        <v>18.2</v>
      </c>
      <c r="G2881" s="599" t="str">
        <f>VLOOKUP($A2881,DATRUB,4,FALSE)</f>
        <v>Curador acrilico transparente</v>
      </c>
      <c r="H2881" s="599"/>
      <c r="I2881" s="599"/>
      <c r="J2881" s="599"/>
      <c r="K2881" s="599"/>
      <c r="L2881" s="20"/>
    </row>
    <row r="2882" spans="1:13" ht="35.1" customHeight="1">
      <c r="A2882" s="14" t="s">
        <v>2330</v>
      </c>
      <c r="D2882" s="18"/>
      <c r="E2882" s="23" t="s">
        <v>97</v>
      </c>
      <c r="F2882" s="399">
        <f>VLOOKUP($A2882,DATRUB,3,FALSE)</f>
        <v>18.2</v>
      </c>
      <c r="G2882" s="599" t="str">
        <f>VLOOKUP($A2882,DATRUB,4,FALSE)</f>
        <v>Curador acrilico transparente</v>
      </c>
      <c r="H2882" s="599"/>
      <c r="I2882" s="599"/>
      <c r="J2882" s="599"/>
      <c r="K2882" s="599"/>
      <c r="L2882" s="20"/>
    </row>
    <row r="2883" spans="1:13">
      <c r="D2883" s="18"/>
      <c r="E2883" s="23" t="s">
        <v>98</v>
      </c>
      <c r="F2883" s="364" t="str">
        <f>VLOOKUP($A2882,DATRUB,5,FALSE)</f>
        <v>m2</v>
      </c>
      <c r="G2883" s="600"/>
      <c r="H2883" s="600"/>
      <c r="I2883" s="600"/>
      <c r="J2883" s="600"/>
      <c r="K2883" s="600"/>
      <c r="L2883" s="20"/>
    </row>
    <row r="2884" spans="1:13">
      <c r="D2884" s="18"/>
      <c r="E2884" s="364" t="s">
        <v>1158</v>
      </c>
      <c r="F2884" s="363" t="s">
        <v>1250</v>
      </c>
      <c r="G2884" s="364" t="s">
        <v>24</v>
      </c>
      <c r="H2884" s="364" t="s">
        <v>25</v>
      </c>
      <c r="I2884" s="364" t="s">
        <v>24</v>
      </c>
      <c r="J2884" s="364" t="s">
        <v>2298</v>
      </c>
      <c r="K2884" s="364" t="s">
        <v>24</v>
      </c>
      <c r="L2884" s="20"/>
    </row>
    <row r="2885" spans="1:13">
      <c r="D2885" s="18"/>
      <c r="E2885" s="593" t="s">
        <v>99</v>
      </c>
      <c r="F2885" s="594"/>
      <c r="G2885" s="594"/>
      <c r="H2885" s="594"/>
      <c r="I2885" s="594"/>
      <c r="J2885" s="594"/>
      <c r="K2885" s="595"/>
      <c r="L2885" s="20"/>
    </row>
    <row r="2886" spans="1:13">
      <c r="A2886" s="14" t="s">
        <v>2513</v>
      </c>
      <c r="D2886" s="18">
        <v>1</v>
      </c>
      <c r="E2886" s="355" t="str">
        <f t="shared" ref="E2886:E2905" si="549">VLOOKUP($A2886,MATMO,2,FALSE)</f>
        <v>Acrilico Transparanet</v>
      </c>
      <c r="F2886" s="356">
        <v>0.2</v>
      </c>
      <c r="G2886" s="357" t="str">
        <f t="shared" ref="G2886:G2905" si="550">VLOOKUP($A2886,MATMO,3,FALSE)</f>
        <v>lts</v>
      </c>
      <c r="H2886" s="358">
        <f t="shared" ref="H2886:H2905" si="551">VLOOKUP($A2886,MATMO,4,FALSE)*$Q$6</f>
        <v>65</v>
      </c>
      <c r="I2886" s="359" t="str">
        <f t="shared" ref="I2886:I2905" si="552">+G2886</f>
        <v>lts</v>
      </c>
      <c r="J2886" s="361">
        <f>+H2886*F2886</f>
        <v>13</v>
      </c>
      <c r="K2886" s="360" t="s">
        <v>2299</v>
      </c>
      <c r="L2886" s="20"/>
      <c r="M2886" s="14" t="s">
        <v>2005</v>
      </c>
    </row>
    <row r="2887" spans="1:13">
      <c r="A2887" s="14" t="s">
        <v>2501</v>
      </c>
      <c r="D2887" s="18">
        <v>2</v>
      </c>
      <c r="E2887" s="26" t="str">
        <f t="shared" si="549"/>
        <v>Rodillo Lana</v>
      </c>
      <c r="F2887" s="311">
        <v>0.02</v>
      </c>
      <c r="G2887" s="307" t="str">
        <f t="shared" si="550"/>
        <v>un</v>
      </c>
      <c r="H2887" s="351">
        <f t="shared" si="551"/>
        <v>63.63636363636364</v>
      </c>
      <c r="I2887" s="354" t="str">
        <f t="shared" si="552"/>
        <v>un</v>
      </c>
      <c r="J2887" s="350">
        <f t="shared" ref="J2887:J2905" si="553">+H2887*F2887</f>
        <v>1.2727272727272729</v>
      </c>
      <c r="K2887" s="360" t="s">
        <v>2299</v>
      </c>
      <c r="L2887" s="20"/>
    </row>
    <row r="2888" spans="1:13">
      <c r="A2888" s="14" t="s">
        <v>2372</v>
      </c>
      <c r="D2888" s="18">
        <v>3</v>
      </c>
      <c r="E2888" s="26" t="str">
        <f t="shared" si="549"/>
        <v xml:space="preserve">Maderas Accesorios </v>
      </c>
      <c r="F2888" s="311">
        <v>2</v>
      </c>
      <c r="G2888" s="307" t="str">
        <f t="shared" si="550"/>
        <v>gl</v>
      </c>
      <c r="H2888" s="351">
        <f t="shared" si="551"/>
        <v>5</v>
      </c>
      <c r="I2888" s="354" t="str">
        <f t="shared" si="552"/>
        <v>gl</v>
      </c>
      <c r="J2888" s="350">
        <f t="shared" si="553"/>
        <v>10</v>
      </c>
      <c r="K2888" s="360" t="s">
        <v>2299</v>
      </c>
      <c r="L2888" s="20"/>
    </row>
    <row r="2889" spans="1:13">
      <c r="A2889" s="14" t="s">
        <v>31</v>
      </c>
      <c r="D2889" s="18">
        <v>4</v>
      </c>
      <c r="E2889" s="26" t="str">
        <f t="shared" si="549"/>
        <v>-</v>
      </c>
      <c r="F2889" s="311"/>
      <c r="G2889" s="307" t="str">
        <f t="shared" si="550"/>
        <v>-</v>
      </c>
      <c r="H2889" s="351">
        <f t="shared" si="551"/>
        <v>0</v>
      </c>
      <c r="I2889" s="537" t="str">
        <f t="shared" si="552"/>
        <v>-</v>
      </c>
      <c r="J2889" s="538">
        <f t="shared" si="553"/>
        <v>0</v>
      </c>
      <c r="K2889" s="539" t="s">
        <v>2299</v>
      </c>
      <c r="L2889" s="20"/>
    </row>
    <row r="2890" spans="1:13">
      <c r="A2890" s="14" t="s">
        <v>31</v>
      </c>
      <c r="D2890" s="18">
        <v>5</v>
      </c>
      <c r="E2890" s="26" t="str">
        <f t="shared" si="549"/>
        <v>-</v>
      </c>
      <c r="F2890" s="311"/>
      <c r="G2890" s="307" t="str">
        <f t="shared" si="550"/>
        <v>-</v>
      </c>
      <c r="H2890" s="351">
        <f t="shared" si="551"/>
        <v>0</v>
      </c>
      <c r="I2890" s="537" t="str">
        <f t="shared" si="552"/>
        <v>-</v>
      </c>
      <c r="J2890" s="538">
        <f t="shared" si="553"/>
        <v>0</v>
      </c>
      <c r="K2890" s="539" t="s">
        <v>2299</v>
      </c>
      <c r="L2890" s="20"/>
    </row>
    <row r="2891" spans="1:13">
      <c r="A2891" s="14" t="s">
        <v>31</v>
      </c>
      <c r="D2891" s="18">
        <v>6</v>
      </c>
      <c r="E2891" s="26" t="str">
        <f t="shared" si="549"/>
        <v>-</v>
      </c>
      <c r="F2891" s="311"/>
      <c r="G2891" s="307" t="str">
        <f t="shared" si="550"/>
        <v>-</v>
      </c>
      <c r="H2891" s="351">
        <f t="shared" si="551"/>
        <v>0</v>
      </c>
      <c r="I2891" s="537" t="str">
        <f t="shared" si="552"/>
        <v>-</v>
      </c>
      <c r="J2891" s="538">
        <f t="shared" si="553"/>
        <v>0</v>
      </c>
      <c r="K2891" s="539" t="s">
        <v>2299</v>
      </c>
      <c r="L2891" s="20"/>
    </row>
    <row r="2892" spans="1:13">
      <c r="A2892" s="14" t="s">
        <v>31</v>
      </c>
      <c r="D2892" s="18">
        <v>7</v>
      </c>
      <c r="E2892" s="26" t="str">
        <f t="shared" si="549"/>
        <v>-</v>
      </c>
      <c r="F2892" s="311"/>
      <c r="G2892" s="307" t="str">
        <f t="shared" si="550"/>
        <v>-</v>
      </c>
      <c r="H2892" s="351">
        <f t="shared" si="551"/>
        <v>0</v>
      </c>
      <c r="I2892" s="537" t="str">
        <f t="shared" si="552"/>
        <v>-</v>
      </c>
      <c r="J2892" s="538">
        <f t="shared" si="553"/>
        <v>0</v>
      </c>
      <c r="K2892" s="539" t="s">
        <v>2299</v>
      </c>
      <c r="L2892" s="20"/>
    </row>
    <row r="2893" spans="1:13">
      <c r="A2893" s="14" t="s">
        <v>31</v>
      </c>
      <c r="D2893" s="18">
        <v>8</v>
      </c>
      <c r="E2893" s="26" t="str">
        <f t="shared" si="549"/>
        <v>-</v>
      </c>
      <c r="F2893" s="311"/>
      <c r="G2893" s="307" t="str">
        <f t="shared" si="550"/>
        <v>-</v>
      </c>
      <c r="H2893" s="351">
        <f t="shared" si="551"/>
        <v>0</v>
      </c>
      <c r="I2893" s="537" t="str">
        <f t="shared" si="552"/>
        <v>-</v>
      </c>
      <c r="J2893" s="538">
        <f t="shared" si="553"/>
        <v>0</v>
      </c>
      <c r="K2893" s="539" t="s">
        <v>2299</v>
      </c>
      <c r="L2893" s="20"/>
    </row>
    <row r="2894" spans="1:13">
      <c r="A2894" s="14" t="s">
        <v>31</v>
      </c>
      <c r="D2894" s="18">
        <v>9</v>
      </c>
      <c r="E2894" s="26" t="str">
        <f t="shared" si="549"/>
        <v>-</v>
      </c>
      <c r="F2894" s="311"/>
      <c r="G2894" s="307" t="str">
        <f t="shared" si="550"/>
        <v>-</v>
      </c>
      <c r="H2894" s="351">
        <f t="shared" si="551"/>
        <v>0</v>
      </c>
      <c r="I2894" s="537" t="str">
        <f t="shared" si="552"/>
        <v>-</v>
      </c>
      <c r="J2894" s="538">
        <f t="shared" si="553"/>
        <v>0</v>
      </c>
      <c r="K2894" s="539" t="s">
        <v>2299</v>
      </c>
      <c r="L2894" s="20"/>
    </row>
    <row r="2895" spans="1:13">
      <c r="A2895" s="14" t="s">
        <v>31</v>
      </c>
      <c r="D2895" s="18">
        <v>10</v>
      </c>
      <c r="E2895" s="26" t="str">
        <f t="shared" si="549"/>
        <v>-</v>
      </c>
      <c r="F2895" s="311"/>
      <c r="G2895" s="307" t="str">
        <f t="shared" si="550"/>
        <v>-</v>
      </c>
      <c r="H2895" s="351">
        <f t="shared" si="551"/>
        <v>0</v>
      </c>
      <c r="I2895" s="537" t="str">
        <f t="shared" si="552"/>
        <v>-</v>
      </c>
      <c r="J2895" s="538">
        <f t="shared" si="553"/>
        <v>0</v>
      </c>
      <c r="K2895" s="539" t="s">
        <v>2299</v>
      </c>
      <c r="L2895" s="20"/>
    </row>
    <row r="2896" spans="1:13">
      <c r="A2896" s="14" t="s">
        <v>31</v>
      </c>
      <c r="D2896" s="18">
        <v>11</v>
      </c>
      <c r="E2896" s="26" t="str">
        <f t="shared" si="549"/>
        <v>-</v>
      </c>
      <c r="F2896" s="311"/>
      <c r="G2896" s="307" t="str">
        <f t="shared" si="550"/>
        <v>-</v>
      </c>
      <c r="H2896" s="351">
        <f t="shared" si="551"/>
        <v>0</v>
      </c>
      <c r="I2896" s="537" t="str">
        <f t="shared" si="552"/>
        <v>-</v>
      </c>
      <c r="J2896" s="538">
        <f t="shared" si="553"/>
        <v>0</v>
      </c>
      <c r="K2896" s="539" t="s">
        <v>2299</v>
      </c>
      <c r="L2896" s="20"/>
    </row>
    <row r="2897" spans="1:18">
      <c r="A2897" s="14" t="s">
        <v>31</v>
      </c>
      <c r="D2897" s="18">
        <v>12</v>
      </c>
      <c r="E2897" s="26" t="str">
        <f t="shared" si="549"/>
        <v>-</v>
      </c>
      <c r="F2897" s="311"/>
      <c r="G2897" s="307" t="str">
        <f t="shared" si="550"/>
        <v>-</v>
      </c>
      <c r="H2897" s="352">
        <f t="shared" si="551"/>
        <v>0</v>
      </c>
      <c r="I2897" s="537" t="str">
        <f t="shared" si="552"/>
        <v>-</v>
      </c>
      <c r="J2897" s="538">
        <f t="shared" si="553"/>
        <v>0</v>
      </c>
      <c r="K2897" s="539" t="s">
        <v>2299</v>
      </c>
      <c r="L2897" s="20"/>
    </row>
    <row r="2898" spans="1:18">
      <c r="A2898" s="14" t="s">
        <v>31</v>
      </c>
      <c r="D2898" s="18">
        <v>13</v>
      </c>
      <c r="E2898" s="26" t="str">
        <f t="shared" si="549"/>
        <v>-</v>
      </c>
      <c r="F2898" s="311"/>
      <c r="G2898" s="307" t="str">
        <f t="shared" si="550"/>
        <v>-</v>
      </c>
      <c r="H2898" s="352">
        <f t="shared" si="551"/>
        <v>0</v>
      </c>
      <c r="I2898" s="537" t="str">
        <f t="shared" si="552"/>
        <v>-</v>
      </c>
      <c r="J2898" s="538">
        <f t="shared" si="553"/>
        <v>0</v>
      </c>
      <c r="K2898" s="539" t="s">
        <v>2299</v>
      </c>
      <c r="L2898" s="20"/>
    </row>
    <row r="2899" spans="1:18">
      <c r="A2899" s="14" t="s">
        <v>31</v>
      </c>
      <c r="D2899" s="18">
        <v>14</v>
      </c>
      <c r="E2899" s="26" t="str">
        <f t="shared" si="549"/>
        <v>-</v>
      </c>
      <c r="F2899" s="311"/>
      <c r="G2899" s="307" t="str">
        <f t="shared" si="550"/>
        <v>-</v>
      </c>
      <c r="H2899" s="352">
        <f t="shared" si="551"/>
        <v>0</v>
      </c>
      <c r="I2899" s="537" t="str">
        <f t="shared" si="552"/>
        <v>-</v>
      </c>
      <c r="J2899" s="538">
        <f t="shared" si="553"/>
        <v>0</v>
      </c>
      <c r="K2899" s="539" t="s">
        <v>2299</v>
      </c>
      <c r="L2899" s="20"/>
    </row>
    <row r="2900" spans="1:18">
      <c r="A2900" s="14" t="s">
        <v>31</v>
      </c>
      <c r="D2900" s="18">
        <v>15</v>
      </c>
      <c r="E2900" s="26" t="str">
        <f t="shared" si="549"/>
        <v>-</v>
      </c>
      <c r="F2900" s="311"/>
      <c r="G2900" s="307" t="str">
        <f t="shared" si="550"/>
        <v>-</v>
      </c>
      <c r="H2900" s="352">
        <f t="shared" si="551"/>
        <v>0</v>
      </c>
      <c r="I2900" s="537" t="str">
        <f t="shared" si="552"/>
        <v>-</v>
      </c>
      <c r="J2900" s="538">
        <f t="shared" si="553"/>
        <v>0</v>
      </c>
      <c r="K2900" s="539" t="s">
        <v>2299</v>
      </c>
      <c r="L2900" s="20"/>
    </row>
    <row r="2901" spans="1:18">
      <c r="A2901" s="14" t="s">
        <v>31</v>
      </c>
      <c r="D2901" s="18">
        <v>16</v>
      </c>
      <c r="E2901" s="26" t="str">
        <f t="shared" si="549"/>
        <v>-</v>
      </c>
      <c r="F2901" s="311"/>
      <c r="G2901" s="307" t="str">
        <f t="shared" si="550"/>
        <v>-</v>
      </c>
      <c r="H2901" s="352">
        <f t="shared" si="551"/>
        <v>0</v>
      </c>
      <c r="I2901" s="537" t="str">
        <f t="shared" si="552"/>
        <v>-</v>
      </c>
      <c r="J2901" s="538">
        <f t="shared" si="553"/>
        <v>0</v>
      </c>
      <c r="K2901" s="539" t="s">
        <v>2299</v>
      </c>
      <c r="L2901" s="20"/>
    </row>
    <row r="2902" spans="1:18">
      <c r="A2902" s="14" t="s">
        <v>31</v>
      </c>
      <c r="D2902" s="18">
        <v>17</v>
      </c>
      <c r="E2902" s="26" t="str">
        <f t="shared" si="549"/>
        <v>-</v>
      </c>
      <c r="F2902" s="311"/>
      <c r="G2902" s="307" t="str">
        <f t="shared" si="550"/>
        <v>-</v>
      </c>
      <c r="H2902" s="352">
        <f t="shared" si="551"/>
        <v>0</v>
      </c>
      <c r="I2902" s="537" t="str">
        <f t="shared" si="552"/>
        <v>-</v>
      </c>
      <c r="J2902" s="538">
        <f t="shared" si="553"/>
        <v>0</v>
      </c>
      <c r="K2902" s="539" t="s">
        <v>2299</v>
      </c>
      <c r="L2902" s="20"/>
    </row>
    <row r="2903" spans="1:18">
      <c r="A2903" s="14" t="s">
        <v>31</v>
      </c>
      <c r="D2903" s="18">
        <v>18</v>
      </c>
      <c r="E2903" s="26" t="str">
        <f t="shared" si="549"/>
        <v>-</v>
      </c>
      <c r="F2903" s="311"/>
      <c r="G2903" s="307" t="str">
        <f t="shared" si="550"/>
        <v>-</v>
      </c>
      <c r="H2903" s="352">
        <f t="shared" si="551"/>
        <v>0</v>
      </c>
      <c r="I2903" s="537" t="str">
        <f t="shared" si="552"/>
        <v>-</v>
      </c>
      <c r="J2903" s="538">
        <f t="shared" si="553"/>
        <v>0</v>
      </c>
      <c r="K2903" s="539" t="s">
        <v>2299</v>
      </c>
      <c r="L2903" s="20"/>
    </row>
    <row r="2904" spans="1:18">
      <c r="A2904" s="14" t="s">
        <v>31</v>
      </c>
      <c r="D2904" s="18">
        <v>19</v>
      </c>
      <c r="E2904" s="26" t="str">
        <f t="shared" si="549"/>
        <v>-</v>
      </c>
      <c r="F2904" s="311"/>
      <c r="G2904" s="307" t="str">
        <f t="shared" si="550"/>
        <v>-</v>
      </c>
      <c r="H2904" s="352">
        <f t="shared" si="551"/>
        <v>0</v>
      </c>
      <c r="I2904" s="537" t="str">
        <f t="shared" si="552"/>
        <v>-</v>
      </c>
      <c r="J2904" s="538">
        <f t="shared" si="553"/>
        <v>0</v>
      </c>
      <c r="K2904" s="539" t="s">
        <v>2299</v>
      </c>
      <c r="L2904" s="20"/>
    </row>
    <row r="2905" spans="1:18">
      <c r="A2905" s="14" t="s">
        <v>31</v>
      </c>
      <c r="D2905" s="18">
        <v>20</v>
      </c>
      <c r="E2905" s="26" t="str">
        <f t="shared" si="549"/>
        <v>-</v>
      </c>
      <c r="F2905" s="311"/>
      <c r="G2905" s="307" t="str">
        <f t="shared" si="550"/>
        <v>-</v>
      </c>
      <c r="H2905" s="352">
        <f t="shared" si="551"/>
        <v>0</v>
      </c>
      <c r="I2905" s="537" t="str">
        <f t="shared" si="552"/>
        <v>-</v>
      </c>
      <c r="J2905" s="541">
        <f t="shared" si="553"/>
        <v>0</v>
      </c>
      <c r="K2905" s="539" t="s">
        <v>2299</v>
      </c>
      <c r="L2905" s="20"/>
    </row>
    <row r="2906" spans="1:18">
      <c r="A2906" s="14">
        <f>A2873+1</f>
        <v>62</v>
      </c>
      <c r="B2906" s="14" t="str">
        <f>"MA" &amp; TEXT(A2906,"##000")</f>
        <v>MA062</v>
      </c>
      <c r="D2906" s="18"/>
      <c r="E2906" s="591" t="s">
        <v>2302</v>
      </c>
      <c r="F2906" s="592"/>
      <c r="G2906" s="592"/>
      <c r="H2906" s="592"/>
      <c r="I2906" s="328"/>
      <c r="J2906" s="353">
        <f>SUM(J2886:J2905)</f>
        <v>24.272727272727273</v>
      </c>
      <c r="K2906" s="365" t="str">
        <f>+F2883</f>
        <v>m2</v>
      </c>
      <c r="L2906" s="20"/>
      <c r="O2906" s="27" t="s">
        <v>1525</v>
      </c>
      <c r="P2906" s="110">
        <v>80</v>
      </c>
    </row>
    <row r="2907" spans="1:18">
      <c r="D2907" s="18"/>
      <c r="E2907" s="593" t="s">
        <v>100</v>
      </c>
      <c r="F2907" s="594"/>
      <c r="G2907" s="594"/>
      <c r="H2907" s="594"/>
      <c r="I2907" s="594"/>
      <c r="J2907" s="595"/>
      <c r="K2907" s="347"/>
      <c r="L2907" s="20"/>
      <c r="O2907" s="27" t="s">
        <v>1524</v>
      </c>
      <c r="P2907" s="110">
        <v>0</v>
      </c>
    </row>
    <row r="2908" spans="1:18">
      <c r="A2908" s="14" t="s">
        <v>84</v>
      </c>
      <c r="D2908" s="18">
        <v>1</v>
      </c>
      <c r="E2908" s="26" t="str">
        <f>VLOOKUP($A2908,MATMO,2,FALSE)</f>
        <v>Oficial</v>
      </c>
      <c r="F2908" s="311">
        <v>1</v>
      </c>
      <c r="G2908" s="307" t="str">
        <f>VLOOKUP($A2908,MATMO,3,FALSE)</f>
        <v>hs</v>
      </c>
      <c r="H2908" s="110">
        <f>VLOOKUP($A2908,MATMO,4,FALSE)*$Q$7</f>
        <v>55.38</v>
      </c>
      <c r="I2908" s="354" t="str">
        <f t="shared" ref="I2908:I2912" si="554">+G2908</f>
        <v>hs</v>
      </c>
      <c r="J2908" s="350">
        <f t="shared" ref="J2908:J2912" si="555">+H2908*F2908</f>
        <v>55.38</v>
      </c>
      <c r="K2908" s="360" t="s">
        <v>2299</v>
      </c>
      <c r="L2908" s="20"/>
      <c r="M2908" s="14" t="s">
        <v>2006</v>
      </c>
      <c r="O2908" s="27" t="s">
        <v>1526</v>
      </c>
      <c r="P2908" s="110">
        <v>0</v>
      </c>
    </row>
    <row r="2909" spans="1:18">
      <c r="A2909" s="14" t="s">
        <v>85</v>
      </c>
      <c r="D2909" s="18">
        <v>2</v>
      </c>
      <c r="E2909" s="26" t="str">
        <f>VLOOKUP($A2909,MATMO,2,FALSE)</f>
        <v>Ayudante</v>
      </c>
      <c r="F2909" s="311">
        <v>0.5</v>
      </c>
      <c r="G2909" s="307" t="str">
        <f>VLOOKUP($A2909,MATMO,3,FALSE)</f>
        <v>hs</v>
      </c>
      <c r="H2909" s="110">
        <f>VLOOKUP($A2909,MATMO,4,FALSE)*$Q$7</f>
        <v>46.87</v>
      </c>
      <c r="I2909" s="354" t="str">
        <f t="shared" si="554"/>
        <v>hs</v>
      </c>
      <c r="J2909" s="350">
        <f t="shared" si="555"/>
        <v>23.434999999999999</v>
      </c>
      <c r="K2909" s="360" t="s">
        <v>2299</v>
      </c>
      <c r="L2909" s="20"/>
      <c r="O2909" s="27" t="s">
        <v>1527</v>
      </c>
      <c r="P2909" s="110">
        <v>0</v>
      </c>
    </row>
    <row r="2910" spans="1:18">
      <c r="A2910" s="14" t="s">
        <v>2311</v>
      </c>
      <c r="D2910" s="18">
        <v>3</v>
      </c>
      <c r="E2910" s="26" t="str">
        <f>VLOOKUP($A2910,MATMO,2,FALSE)</f>
        <v>Cargas Sociales Oficial</v>
      </c>
      <c r="F2910" s="311">
        <f>+F2908</f>
        <v>1</v>
      </c>
      <c r="G2910" s="307" t="str">
        <f>VLOOKUP($A2910,MATMO,3,FALSE)</f>
        <v>hs</v>
      </c>
      <c r="H2910" s="110">
        <f>VLOOKUP($A2910,MATMO,4,FALSE)*$Q$7</f>
        <v>52.742782499999997</v>
      </c>
      <c r="I2910" s="354" t="str">
        <f t="shared" si="554"/>
        <v>hs</v>
      </c>
      <c r="J2910" s="350">
        <f t="shared" si="555"/>
        <v>52.742782499999997</v>
      </c>
      <c r="K2910" s="360" t="s">
        <v>2299</v>
      </c>
      <c r="L2910" s="20"/>
      <c r="O2910" s="27"/>
      <c r="P2910" s="110">
        <v>0</v>
      </c>
    </row>
    <row r="2911" spans="1:18">
      <c r="A2911" s="14" t="s">
        <v>2312</v>
      </c>
      <c r="D2911" s="18">
        <v>4</v>
      </c>
      <c r="E2911" s="26" t="str">
        <f>VLOOKUP($A2911,MATMO,2,FALSE)</f>
        <v>Cargas Sociales Ayudante</v>
      </c>
      <c r="F2911" s="311">
        <f>+F2909</f>
        <v>0.5</v>
      </c>
      <c r="G2911" s="307" t="str">
        <f>VLOOKUP($A2911,MATMO,3,FALSE)</f>
        <v>hs</v>
      </c>
      <c r="H2911" s="110">
        <f>VLOOKUP($A2911,MATMO,4,FALSE)*$Q$7</f>
        <v>45.108248750000001</v>
      </c>
      <c r="I2911" s="354" t="str">
        <f t="shared" si="554"/>
        <v>hs</v>
      </c>
      <c r="J2911" s="350">
        <f t="shared" si="555"/>
        <v>22.554124375000001</v>
      </c>
      <c r="K2911" s="360" t="s">
        <v>2299</v>
      </c>
      <c r="L2911" s="20"/>
      <c r="O2911" s="27"/>
      <c r="P2911" s="110">
        <v>0</v>
      </c>
    </row>
    <row r="2912" spans="1:18" ht="16.5" thickBot="1">
      <c r="A2912" s="14" t="s">
        <v>83</v>
      </c>
      <c r="D2912" s="18">
        <v>5</v>
      </c>
      <c r="E2912" s="26" t="str">
        <f>VLOOKUP($A2912,MATMO,2,FALSE)</f>
        <v>-</v>
      </c>
      <c r="F2912" s="311"/>
      <c r="G2912" s="307" t="str">
        <f>VLOOKUP($A2912,MATMO,3,FALSE)</f>
        <v>-</v>
      </c>
      <c r="H2912" s="110">
        <f>VLOOKUP($A2912,MATMO,4,FALSE)*$Q$7</f>
        <v>0</v>
      </c>
      <c r="I2912" s="537" t="str">
        <f t="shared" si="554"/>
        <v>-</v>
      </c>
      <c r="J2912" s="538">
        <f t="shared" si="555"/>
        <v>0</v>
      </c>
      <c r="K2912" s="539" t="s">
        <v>2299</v>
      </c>
      <c r="L2912" s="20"/>
      <c r="O2912" s="27"/>
      <c r="P2912" s="110">
        <v>0</v>
      </c>
      <c r="R2912" s="29" t="s">
        <v>2307</v>
      </c>
    </row>
    <row r="2913" spans="1:19" ht="16.5" thickBot="1">
      <c r="A2913" s="14">
        <f>A2873+1</f>
        <v>62</v>
      </c>
      <c r="B2913" s="14" t="str">
        <f>"MO" &amp; TEXT(A2913,"##000")</f>
        <v>MO062</v>
      </c>
      <c r="D2913" s="18"/>
      <c r="E2913" s="591" t="s">
        <v>2301</v>
      </c>
      <c r="F2913" s="592"/>
      <c r="G2913" s="592"/>
      <c r="H2913" s="592"/>
      <c r="I2913" s="328"/>
      <c r="J2913" s="362">
        <f>SUM(J2908:J2912)</f>
        <v>154.11190687499999</v>
      </c>
      <c r="K2913" s="365" t="str">
        <f>+G2908</f>
        <v>hs</v>
      </c>
      <c r="L2913" s="20"/>
      <c r="N2913" s="111">
        <f>+P2913+R2913</f>
        <v>152</v>
      </c>
      <c r="O2913" s="27"/>
      <c r="P2913" s="27">
        <f>SUM(P2906:P2912)</f>
        <v>80</v>
      </c>
      <c r="Q2913" s="26">
        <v>0.9</v>
      </c>
      <c r="R2913" s="287">
        <f>+Q2913*P2913</f>
        <v>72</v>
      </c>
      <c r="S2913" s="288"/>
    </row>
    <row r="2914" spans="1:19">
      <c r="D2914" s="18"/>
      <c r="E2914" s="593" t="s">
        <v>101</v>
      </c>
      <c r="F2914" s="594"/>
      <c r="G2914" s="594"/>
      <c r="H2914" s="594"/>
      <c r="I2914" s="594"/>
      <c r="J2914" s="595"/>
      <c r="K2914" s="347"/>
      <c r="L2914" s="20"/>
      <c r="P2914" s="14" t="s">
        <v>2308</v>
      </c>
    </row>
    <row r="2915" spans="1:19">
      <c r="A2915" s="14" t="s">
        <v>119</v>
      </c>
      <c r="D2915" s="18">
        <v>1</v>
      </c>
      <c r="E2915" s="26" t="str">
        <f>VLOOKUP($A2915,MATMO,2,FALSE)</f>
        <v>Herramientas de Mano</v>
      </c>
      <c r="F2915" s="311">
        <v>1</v>
      </c>
      <c r="G2915" s="307" t="str">
        <f>VLOOKUP($A2915,MATMO,3,FALSE)</f>
        <v>gl</v>
      </c>
      <c r="H2915" s="110">
        <f>+(J2906+J2913)*$Q$5</f>
        <v>7.1353853659090909</v>
      </c>
      <c r="I2915" s="345" t="str">
        <f>+G2915</f>
        <v>gl</v>
      </c>
      <c r="J2915" s="350">
        <f t="shared" ref="J2915:J2919" si="556">+H2915*F2915</f>
        <v>7.1353853659090909</v>
      </c>
      <c r="K2915" s="360" t="s">
        <v>2299</v>
      </c>
      <c r="L2915" s="20"/>
      <c r="M2915" s="14" t="s">
        <v>2004</v>
      </c>
    </row>
    <row r="2916" spans="1:19">
      <c r="A2916" s="14" t="s">
        <v>118</v>
      </c>
      <c r="D2916" s="18">
        <v>2</v>
      </c>
      <c r="E2916" s="26" t="str">
        <f>VLOOKUP($A2916,MATMO,2,FALSE)</f>
        <v>-</v>
      </c>
      <c r="F2916" s="311"/>
      <c r="G2916" s="307" t="str">
        <f>VLOOKUP($A2916,MATMO,3,FALSE)</f>
        <v>-</v>
      </c>
      <c r="H2916" s="110">
        <f>VLOOKUP($A2916,MATMO,4,FALSE)*$Q$6</f>
        <v>0</v>
      </c>
      <c r="I2916" s="543" t="str">
        <f t="shared" ref="I2916:I2919" si="557">+G2916</f>
        <v>-</v>
      </c>
      <c r="J2916" s="538">
        <f t="shared" si="556"/>
        <v>0</v>
      </c>
      <c r="K2916" s="539" t="s">
        <v>2299</v>
      </c>
      <c r="L2916" s="20"/>
    </row>
    <row r="2917" spans="1:19">
      <c r="A2917" s="14" t="s">
        <v>118</v>
      </c>
      <c r="D2917" s="18">
        <v>3</v>
      </c>
      <c r="E2917" s="26" t="str">
        <f>VLOOKUP($A2917,MATMO,2,FALSE)</f>
        <v>-</v>
      </c>
      <c r="F2917" s="311"/>
      <c r="G2917" s="307" t="str">
        <f>VLOOKUP($A2917,MATMO,3,FALSE)</f>
        <v>-</v>
      </c>
      <c r="H2917" s="110">
        <f>VLOOKUP($A2917,MATMO,4,FALSE)*$Q$6</f>
        <v>0</v>
      </c>
      <c r="I2917" s="543" t="str">
        <f t="shared" si="557"/>
        <v>-</v>
      </c>
      <c r="J2917" s="538">
        <f t="shared" si="556"/>
        <v>0</v>
      </c>
      <c r="K2917" s="539" t="s">
        <v>2299</v>
      </c>
      <c r="L2917" s="20"/>
    </row>
    <row r="2918" spans="1:19">
      <c r="A2918" s="14" t="s">
        <v>118</v>
      </c>
      <c r="D2918" s="18">
        <v>4</v>
      </c>
      <c r="E2918" s="26" t="str">
        <f>VLOOKUP($A2918,MATMO,2,FALSE)</f>
        <v>-</v>
      </c>
      <c r="F2918" s="311"/>
      <c r="G2918" s="307" t="str">
        <f>VLOOKUP($A2918,MATMO,3,FALSE)</f>
        <v>-</v>
      </c>
      <c r="H2918" s="110">
        <f>VLOOKUP($A2918,MATMO,4,FALSE)*$Q$6</f>
        <v>0</v>
      </c>
      <c r="I2918" s="543" t="str">
        <f t="shared" si="557"/>
        <v>-</v>
      </c>
      <c r="J2918" s="538">
        <f t="shared" si="556"/>
        <v>0</v>
      </c>
      <c r="K2918" s="539" t="s">
        <v>2299</v>
      </c>
      <c r="L2918" s="20"/>
    </row>
    <row r="2919" spans="1:19">
      <c r="A2919" s="14" t="s">
        <v>118</v>
      </c>
      <c r="D2919" s="18">
        <v>5</v>
      </c>
      <c r="E2919" s="26" t="str">
        <f>VLOOKUP($A2919,MATMO,2,FALSE)</f>
        <v>-</v>
      </c>
      <c r="F2919" s="311"/>
      <c r="G2919" s="307" t="str">
        <f>VLOOKUP($A2919,MATMO,3,FALSE)</f>
        <v>-</v>
      </c>
      <c r="H2919" s="110">
        <f>VLOOKUP($A2919,MATMO,4,FALSE)*$Q$6</f>
        <v>0</v>
      </c>
      <c r="I2919" s="543" t="str">
        <f t="shared" si="557"/>
        <v>-</v>
      </c>
      <c r="J2919" s="538">
        <f t="shared" si="556"/>
        <v>0</v>
      </c>
      <c r="K2919" s="539" t="s">
        <v>2299</v>
      </c>
      <c r="L2919" s="20"/>
    </row>
    <row r="2920" spans="1:19">
      <c r="A2920" s="14">
        <f>A2873+1</f>
        <v>62</v>
      </c>
      <c r="B2920" s="14" t="str">
        <f>"E" &amp; TEXT(A2920,"##000")</f>
        <v>E062</v>
      </c>
      <c r="D2920" s="18"/>
      <c r="E2920" s="591" t="s">
        <v>2300</v>
      </c>
      <c r="F2920" s="592"/>
      <c r="G2920" s="592"/>
      <c r="H2920" s="592"/>
      <c r="I2920" s="328"/>
      <c r="J2920" s="362">
        <f>SUM(J2915:J2919)</f>
        <v>7.1353853659090909</v>
      </c>
      <c r="K2920" s="365" t="s">
        <v>116</v>
      </c>
      <c r="L2920" s="20"/>
    </row>
    <row r="2921" spans="1:19">
      <c r="D2921" s="18"/>
      <c r="E2921" s="596"/>
      <c r="F2921" s="597"/>
      <c r="G2921" s="597"/>
      <c r="H2921" s="597"/>
      <c r="I2921" s="597"/>
      <c r="J2921" s="598"/>
      <c r="K2921" s="348"/>
      <c r="L2921" s="20"/>
    </row>
    <row r="2922" spans="1:19">
      <c r="D2922" s="18"/>
      <c r="E2922" s="591" t="s">
        <v>2306</v>
      </c>
      <c r="F2922" s="592"/>
      <c r="G2922" s="592"/>
      <c r="H2922" s="592"/>
      <c r="I2922" s="328"/>
      <c r="J2922" s="308">
        <f>+J2920+J2913+J2906</f>
        <v>185.52001951363636</v>
      </c>
      <c r="K2922" s="365" t="str">
        <f>+F2883</f>
        <v>m2</v>
      </c>
      <c r="L2922" s="20"/>
    </row>
    <row r="2923" spans="1:19">
      <c r="D2923" s="18"/>
      <c r="E2923" s="591" t="s">
        <v>2305</v>
      </c>
      <c r="F2923" s="592"/>
      <c r="G2923" s="592"/>
      <c r="H2923" s="592"/>
      <c r="I2923" s="406">
        <f>+$Q$9</f>
        <v>1.6902999999999999</v>
      </c>
      <c r="J2923" s="308">
        <f>+$Q$9*J2922</f>
        <v>313.58448898389952</v>
      </c>
      <c r="K2923" s="365" t="str">
        <f>+F2883</f>
        <v>m2</v>
      </c>
      <c r="L2923" s="20"/>
    </row>
    <row r="2924" spans="1:19">
      <c r="A2924" s="14">
        <f>A2877+1</f>
        <v>62</v>
      </c>
      <c r="B2924" s="14" t="str">
        <f>"TR" &amp; TEXT(A2924,"##000")</f>
        <v>TR062</v>
      </c>
      <c r="C2924" s="14">
        <f>+C2877+1</f>
        <v>62</v>
      </c>
      <c r="D2924" s="18"/>
      <c r="E2924" s="591" t="s">
        <v>2304</v>
      </c>
      <c r="F2924" s="592"/>
      <c r="G2924" s="592"/>
      <c r="H2924" s="592"/>
      <c r="I2924" s="328"/>
      <c r="J2924" s="308">
        <f>+J2923</f>
        <v>313.58448898389952</v>
      </c>
      <c r="K2924" s="365" t="str">
        <f>+F2883</f>
        <v>m2</v>
      </c>
      <c r="L2924" s="20"/>
    </row>
    <row r="2925" spans="1:19" ht="16.5" thickBot="1">
      <c r="D2925" s="21"/>
      <c r="E2925" s="30"/>
      <c r="F2925" s="30"/>
      <c r="G2925" s="30"/>
      <c r="H2925" s="30"/>
      <c r="I2925" s="30"/>
      <c r="J2925" s="30"/>
      <c r="K2925" s="349"/>
      <c r="L2925" s="22"/>
    </row>
    <row r="2926" spans="1:19" ht="16.5" thickTop="1">
      <c r="D2926" s="15"/>
      <c r="E2926" s="16"/>
      <c r="F2926" s="16"/>
      <c r="G2926" s="16"/>
      <c r="H2926" s="16"/>
      <c r="I2926" s="16"/>
      <c r="J2926" s="16"/>
      <c r="K2926" s="16"/>
      <c r="L2926" s="17"/>
    </row>
    <row r="2927" spans="1:19">
      <c r="A2927" s="14" t="s">
        <v>2049</v>
      </c>
      <c r="D2927" s="18"/>
      <c r="E2927" s="23" t="s">
        <v>95</v>
      </c>
      <c r="F2927" s="364" t="str">
        <f>VLOOKUP($A2927,DATRUB,3,FALSE)</f>
        <v>RUBRO XVIII:</v>
      </c>
      <c r="G2927" s="599" t="str">
        <f>VLOOKUP($A2927,DATRUB,4,FALSE)</f>
        <v>PINTURAS</v>
      </c>
      <c r="H2927" s="599"/>
      <c r="I2927" s="599"/>
      <c r="J2927" s="599"/>
      <c r="K2927" s="599"/>
      <c r="L2927" s="20"/>
    </row>
    <row r="2928" spans="1:19" ht="35.1" customHeight="1">
      <c r="A2928" s="14" t="s">
        <v>2331</v>
      </c>
      <c r="D2928" s="18"/>
      <c r="E2928" s="23" t="s">
        <v>96</v>
      </c>
      <c r="F2928" s="399">
        <f>VLOOKUP($A2928,DATRUB,3,FALSE)</f>
        <v>18.3</v>
      </c>
      <c r="G2928" s="599" t="str">
        <f>VLOOKUP($A2928,DATRUB,4,FALSE)</f>
        <v>Pintura al Latex para exteriores primera calidad color a definir</v>
      </c>
      <c r="H2928" s="599"/>
      <c r="I2928" s="599"/>
      <c r="J2928" s="599"/>
      <c r="K2928" s="599"/>
      <c r="L2928" s="20"/>
    </row>
    <row r="2929" spans="1:13" ht="35.1" customHeight="1">
      <c r="A2929" s="14" t="s">
        <v>2331</v>
      </c>
      <c r="D2929" s="18"/>
      <c r="E2929" s="23" t="s">
        <v>97</v>
      </c>
      <c r="F2929" s="399">
        <f>VLOOKUP($A2929,DATRUB,3,FALSE)</f>
        <v>18.3</v>
      </c>
      <c r="G2929" s="599" t="str">
        <f>VLOOKUP($A2929,DATRUB,4,FALSE)</f>
        <v>Pintura al Latex para exteriores primera calidad color a definir</v>
      </c>
      <c r="H2929" s="599"/>
      <c r="I2929" s="599"/>
      <c r="J2929" s="599"/>
      <c r="K2929" s="599"/>
      <c r="L2929" s="20"/>
    </row>
    <row r="2930" spans="1:13">
      <c r="D2930" s="18"/>
      <c r="E2930" s="23" t="s">
        <v>98</v>
      </c>
      <c r="F2930" s="364" t="str">
        <f>VLOOKUP($A2929,DATRUB,5,FALSE)</f>
        <v>m2</v>
      </c>
      <c r="G2930" s="600"/>
      <c r="H2930" s="600"/>
      <c r="I2930" s="600"/>
      <c r="J2930" s="600"/>
      <c r="K2930" s="600"/>
      <c r="L2930" s="20"/>
    </row>
    <row r="2931" spans="1:13">
      <c r="D2931" s="18"/>
      <c r="E2931" s="364" t="s">
        <v>1158</v>
      </c>
      <c r="F2931" s="363" t="s">
        <v>1250</v>
      </c>
      <c r="G2931" s="364" t="s">
        <v>24</v>
      </c>
      <c r="H2931" s="364" t="s">
        <v>25</v>
      </c>
      <c r="I2931" s="364" t="s">
        <v>24</v>
      </c>
      <c r="J2931" s="364" t="s">
        <v>2298</v>
      </c>
      <c r="K2931" s="364" t="s">
        <v>24</v>
      </c>
      <c r="L2931" s="20"/>
    </row>
    <row r="2932" spans="1:13">
      <c r="D2932" s="18"/>
      <c r="E2932" s="593" t="s">
        <v>99</v>
      </c>
      <c r="F2932" s="594"/>
      <c r="G2932" s="594"/>
      <c r="H2932" s="594"/>
      <c r="I2932" s="594"/>
      <c r="J2932" s="594"/>
      <c r="K2932" s="595"/>
      <c r="L2932" s="20"/>
    </row>
    <row r="2933" spans="1:13">
      <c r="A2933" s="14" t="s">
        <v>2498</v>
      </c>
      <c r="D2933" s="18">
        <v>1</v>
      </c>
      <c r="E2933" s="355" t="str">
        <f t="shared" ref="E2933:E2952" si="558">VLOOKUP($A2933,MATMO,2,FALSE)</f>
        <v>Látex Int. Ext. T Pinturas</v>
      </c>
      <c r="F2933" s="356">
        <v>0.3</v>
      </c>
      <c r="G2933" s="357" t="str">
        <f t="shared" ref="G2933:G2952" si="559">VLOOKUP($A2933,MATMO,3,FALSE)</f>
        <v>lts</v>
      </c>
      <c r="H2933" s="358">
        <f t="shared" ref="H2933:H2952" si="560">VLOOKUP($A2933,MATMO,4,FALSE)*$Q$6</f>
        <v>58.801652892561982</v>
      </c>
      <c r="I2933" s="359" t="str">
        <f t="shared" ref="I2933:I2952" si="561">+G2933</f>
        <v>lts</v>
      </c>
      <c r="J2933" s="361">
        <f>+H2933*F2933</f>
        <v>17.640495867768593</v>
      </c>
      <c r="K2933" s="360" t="s">
        <v>2299</v>
      </c>
      <c r="L2933" s="20"/>
      <c r="M2933" s="14" t="s">
        <v>2005</v>
      </c>
    </row>
    <row r="2934" spans="1:13">
      <c r="A2934" s="14" t="s">
        <v>2499</v>
      </c>
      <c r="D2934" s="18">
        <v>2</v>
      </c>
      <c r="E2934" s="26" t="str">
        <f t="shared" si="558"/>
        <v>Fijador T. Pinturas</v>
      </c>
      <c r="F2934" s="311">
        <v>0.01</v>
      </c>
      <c r="G2934" s="307" t="str">
        <f t="shared" si="559"/>
        <v>lts</v>
      </c>
      <c r="H2934" s="351">
        <f t="shared" si="560"/>
        <v>31.473966942148756</v>
      </c>
      <c r="I2934" s="354" t="str">
        <f t="shared" si="561"/>
        <v>lts</v>
      </c>
      <c r="J2934" s="350">
        <f t="shared" ref="J2934:J2952" si="562">+H2934*F2934</f>
        <v>0.31473966942148757</v>
      </c>
      <c r="K2934" s="360" t="s">
        <v>2299</v>
      </c>
      <c r="L2934" s="20"/>
    </row>
    <row r="2935" spans="1:13">
      <c r="A2935" s="14" t="s">
        <v>2500</v>
      </c>
      <c r="D2935" s="18">
        <v>3</v>
      </c>
      <c r="E2935" s="26" t="str">
        <f t="shared" si="558"/>
        <v>Pincel</v>
      </c>
      <c r="F2935" s="311">
        <v>0.02</v>
      </c>
      <c r="G2935" s="307" t="str">
        <f t="shared" si="559"/>
        <v>un</v>
      </c>
      <c r="H2935" s="351">
        <f t="shared" si="560"/>
        <v>63.63636363636364</v>
      </c>
      <c r="I2935" s="354" t="str">
        <f t="shared" si="561"/>
        <v>un</v>
      </c>
      <c r="J2935" s="350">
        <f t="shared" si="562"/>
        <v>1.2727272727272729</v>
      </c>
      <c r="K2935" s="360" t="s">
        <v>2299</v>
      </c>
      <c r="L2935" s="20"/>
    </row>
    <row r="2936" spans="1:13">
      <c r="A2936" s="14" t="s">
        <v>2501</v>
      </c>
      <c r="D2936" s="18">
        <v>4</v>
      </c>
      <c r="E2936" s="26" t="str">
        <f t="shared" si="558"/>
        <v>Rodillo Lana</v>
      </c>
      <c r="F2936" s="311">
        <v>0.02</v>
      </c>
      <c r="G2936" s="307" t="str">
        <f t="shared" si="559"/>
        <v>un</v>
      </c>
      <c r="H2936" s="351">
        <f t="shared" si="560"/>
        <v>63.63636363636364</v>
      </c>
      <c r="I2936" s="354" t="str">
        <f t="shared" si="561"/>
        <v>un</v>
      </c>
      <c r="J2936" s="350">
        <f t="shared" si="562"/>
        <v>1.2727272727272729</v>
      </c>
      <c r="K2936" s="360" t="s">
        <v>2299</v>
      </c>
      <c r="L2936" s="20"/>
    </row>
    <row r="2937" spans="1:13">
      <c r="A2937" s="14" t="s">
        <v>2502</v>
      </c>
      <c r="D2937" s="18">
        <v>5</v>
      </c>
      <c r="E2937" s="26" t="str">
        <f t="shared" si="558"/>
        <v>Enduido Acrílico</v>
      </c>
      <c r="F2937" s="311">
        <v>1</v>
      </c>
      <c r="G2937" s="307" t="str">
        <f t="shared" si="559"/>
        <v>kg</v>
      </c>
      <c r="H2937" s="351">
        <f t="shared" si="560"/>
        <v>13.553719008264464</v>
      </c>
      <c r="I2937" s="354" t="str">
        <f t="shared" si="561"/>
        <v>kg</v>
      </c>
      <c r="J2937" s="350">
        <f t="shared" si="562"/>
        <v>13.553719008264464</v>
      </c>
      <c r="K2937" s="360" t="s">
        <v>2299</v>
      </c>
      <c r="L2937" s="20"/>
    </row>
    <row r="2938" spans="1:13">
      <c r="A2938" s="14" t="s">
        <v>2503</v>
      </c>
      <c r="D2938" s="18">
        <v>6</v>
      </c>
      <c r="E2938" s="26" t="str">
        <f t="shared" si="558"/>
        <v>Yeso tipo Paris</v>
      </c>
      <c r="F2938" s="311">
        <v>0.3</v>
      </c>
      <c r="G2938" s="307" t="str">
        <f t="shared" si="559"/>
        <v>kg</v>
      </c>
      <c r="H2938" s="351">
        <f t="shared" si="560"/>
        <v>7.5</v>
      </c>
      <c r="I2938" s="354" t="str">
        <f t="shared" si="561"/>
        <v>kg</v>
      </c>
      <c r="J2938" s="350">
        <f t="shared" si="562"/>
        <v>2.25</v>
      </c>
      <c r="K2938" s="360" t="s">
        <v>2299</v>
      </c>
      <c r="L2938" s="20"/>
    </row>
    <row r="2939" spans="1:13">
      <c r="A2939" s="14" t="s">
        <v>31</v>
      </c>
      <c r="D2939" s="18">
        <v>7</v>
      </c>
      <c r="E2939" s="26" t="str">
        <f t="shared" si="558"/>
        <v>-</v>
      </c>
      <c r="F2939" s="311"/>
      <c r="G2939" s="307" t="str">
        <f t="shared" si="559"/>
        <v>-</v>
      </c>
      <c r="H2939" s="351">
        <f t="shared" si="560"/>
        <v>0</v>
      </c>
      <c r="I2939" s="537" t="str">
        <f t="shared" si="561"/>
        <v>-</v>
      </c>
      <c r="J2939" s="538">
        <f t="shared" si="562"/>
        <v>0</v>
      </c>
      <c r="K2939" s="539" t="s">
        <v>2299</v>
      </c>
      <c r="L2939" s="20"/>
    </row>
    <row r="2940" spans="1:13">
      <c r="A2940" s="14" t="s">
        <v>31</v>
      </c>
      <c r="D2940" s="18">
        <v>8</v>
      </c>
      <c r="E2940" s="26" t="str">
        <f t="shared" si="558"/>
        <v>-</v>
      </c>
      <c r="F2940" s="311"/>
      <c r="G2940" s="307" t="str">
        <f t="shared" si="559"/>
        <v>-</v>
      </c>
      <c r="H2940" s="351">
        <f t="shared" si="560"/>
        <v>0</v>
      </c>
      <c r="I2940" s="537" t="str">
        <f t="shared" si="561"/>
        <v>-</v>
      </c>
      <c r="J2940" s="538">
        <f t="shared" si="562"/>
        <v>0</v>
      </c>
      <c r="K2940" s="539" t="s">
        <v>2299</v>
      </c>
      <c r="L2940" s="20"/>
    </row>
    <row r="2941" spans="1:13">
      <c r="A2941" s="14" t="s">
        <v>31</v>
      </c>
      <c r="D2941" s="18">
        <v>9</v>
      </c>
      <c r="E2941" s="26" t="str">
        <f t="shared" si="558"/>
        <v>-</v>
      </c>
      <c r="F2941" s="311"/>
      <c r="G2941" s="307" t="str">
        <f t="shared" si="559"/>
        <v>-</v>
      </c>
      <c r="H2941" s="351">
        <f t="shared" si="560"/>
        <v>0</v>
      </c>
      <c r="I2941" s="537" t="str">
        <f t="shared" si="561"/>
        <v>-</v>
      </c>
      <c r="J2941" s="538">
        <f t="shared" si="562"/>
        <v>0</v>
      </c>
      <c r="K2941" s="539" t="s">
        <v>2299</v>
      </c>
      <c r="L2941" s="20"/>
    </row>
    <row r="2942" spans="1:13">
      <c r="A2942" s="14" t="s">
        <v>31</v>
      </c>
      <c r="D2942" s="18">
        <v>10</v>
      </c>
      <c r="E2942" s="26" t="str">
        <f t="shared" si="558"/>
        <v>-</v>
      </c>
      <c r="F2942" s="311"/>
      <c r="G2942" s="307" t="str">
        <f t="shared" si="559"/>
        <v>-</v>
      </c>
      <c r="H2942" s="351">
        <f t="shared" si="560"/>
        <v>0</v>
      </c>
      <c r="I2942" s="537" t="str">
        <f t="shared" si="561"/>
        <v>-</v>
      </c>
      <c r="J2942" s="538">
        <f t="shared" si="562"/>
        <v>0</v>
      </c>
      <c r="K2942" s="539" t="s">
        <v>2299</v>
      </c>
      <c r="L2942" s="20"/>
    </row>
    <row r="2943" spans="1:13">
      <c r="A2943" s="14" t="s">
        <v>31</v>
      </c>
      <c r="D2943" s="18">
        <v>11</v>
      </c>
      <c r="E2943" s="26" t="str">
        <f t="shared" si="558"/>
        <v>-</v>
      </c>
      <c r="F2943" s="311"/>
      <c r="G2943" s="307" t="str">
        <f t="shared" si="559"/>
        <v>-</v>
      </c>
      <c r="H2943" s="351">
        <f t="shared" si="560"/>
        <v>0</v>
      </c>
      <c r="I2943" s="537" t="str">
        <f t="shared" si="561"/>
        <v>-</v>
      </c>
      <c r="J2943" s="538">
        <f t="shared" si="562"/>
        <v>0</v>
      </c>
      <c r="K2943" s="539" t="s">
        <v>2299</v>
      </c>
      <c r="L2943" s="20"/>
    </row>
    <row r="2944" spans="1:13">
      <c r="A2944" s="14" t="s">
        <v>31</v>
      </c>
      <c r="D2944" s="18">
        <v>12</v>
      </c>
      <c r="E2944" s="26" t="str">
        <f t="shared" si="558"/>
        <v>-</v>
      </c>
      <c r="F2944" s="311"/>
      <c r="G2944" s="307" t="str">
        <f t="shared" si="559"/>
        <v>-</v>
      </c>
      <c r="H2944" s="352">
        <f t="shared" si="560"/>
        <v>0</v>
      </c>
      <c r="I2944" s="537" t="str">
        <f t="shared" si="561"/>
        <v>-</v>
      </c>
      <c r="J2944" s="538">
        <f t="shared" si="562"/>
        <v>0</v>
      </c>
      <c r="K2944" s="539" t="s">
        <v>2299</v>
      </c>
      <c r="L2944" s="20"/>
    </row>
    <row r="2945" spans="1:19">
      <c r="A2945" s="14" t="s">
        <v>31</v>
      </c>
      <c r="D2945" s="18">
        <v>13</v>
      </c>
      <c r="E2945" s="26" t="str">
        <f t="shared" si="558"/>
        <v>-</v>
      </c>
      <c r="F2945" s="311"/>
      <c r="G2945" s="307" t="str">
        <f t="shared" si="559"/>
        <v>-</v>
      </c>
      <c r="H2945" s="352">
        <f t="shared" si="560"/>
        <v>0</v>
      </c>
      <c r="I2945" s="537" t="str">
        <f t="shared" si="561"/>
        <v>-</v>
      </c>
      <c r="J2945" s="538">
        <f t="shared" si="562"/>
        <v>0</v>
      </c>
      <c r="K2945" s="539" t="s">
        <v>2299</v>
      </c>
      <c r="L2945" s="20"/>
    </row>
    <row r="2946" spans="1:19">
      <c r="A2946" s="14" t="s">
        <v>31</v>
      </c>
      <c r="D2946" s="18">
        <v>14</v>
      </c>
      <c r="E2946" s="26" t="str">
        <f t="shared" si="558"/>
        <v>-</v>
      </c>
      <c r="F2946" s="311"/>
      <c r="G2946" s="307" t="str">
        <f t="shared" si="559"/>
        <v>-</v>
      </c>
      <c r="H2946" s="352">
        <f t="shared" si="560"/>
        <v>0</v>
      </c>
      <c r="I2946" s="537" t="str">
        <f t="shared" si="561"/>
        <v>-</v>
      </c>
      <c r="J2946" s="538">
        <f t="shared" si="562"/>
        <v>0</v>
      </c>
      <c r="K2946" s="539" t="s">
        <v>2299</v>
      </c>
      <c r="L2946" s="20"/>
    </row>
    <row r="2947" spans="1:19">
      <c r="A2947" s="14" t="s">
        <v>31</v>
      </c>
      <c r="D2947" s="18">
        <v>15</v>
      </c>
      <c r="E2947" s="26" t="str">
        <f t="shared" si="558"/>
        <v>-</v>
      </c>
      <c r="F2947" s="311"/>
      <c r="G2947" s="307" t="str">
        <f t="shared" si="559"/>
        <v>-</v>
      </c>
      <c r="H2947" s="352">
        <f t="shared" si="560"/>
        <v>0</v>
      </c>
      <c r="I2947" s="537" t="str">
        <f t="shared" si="561"/>
        <v>-</v>
      </c>
      <c r="J2947" s="538">
        <f t="shared" si="562"/>
        <v>0</v>
      </c>
      <c r="K2947" s="539" t="s">
        <v>2299</v>
      </c>
      <c r="L2947" s="20"/>
    </row>
    <row r="2948" spans="1:19">
      <c r="A2948" s="14" t="s">
        <v>31</v>
      </c>
      <c r="D2948" s="18">
        <v>16</v>
      </c>
      <c r="E2948" s="26" t="str">
        <f t="shared" si="558"/>
        <v>-</v>
      </c>
      <c r="F2948" s="311"/>
      <c r="G2948" s="307" t="str">
        <f t="shared" si="559"/>
        <v>-</v>
      </c>
      <c r="H2948" s="352">
        <f t="shared" si="560"/>
        <v>0</v>
      </c>
      <c r="I2948" s="537" t="str">
        <f t="shared" si="561"/>
        <v>-</v>
      </c>
      <c r="J2948" s="538">
        <f t="shared" si="562"/>
        <v>0</v>
      </c>
      <c r="K2948" s="539" t="s">
        <v>2299</v>
      </c>
      <c r="L2948" s="20"/>
    </row>
    <row r="2949" spans="1:19">
      <c r="A2949" s="14" t="s">
        <v>31</v>
      </c>
      <c r="D2949" s="18">
        <v>17</v>
      </c>
      <c r="E2949" s="26" t="str">
        <f t="shared" si="558"/>
        <v>-</v>
      </c>
      <c r="F2949" s="311"/>
      <c r="G2949" s="307" t="str">
        <f t="shared" si="559"/>
        <v>-</v>
      </c>
      <c r="H2949" s="352">
        <f t="shared" si="560"/>
        <v>0</v>
      </c>
      <c r="I2949" s="537" t="str">
        <f t="shared" si="561"/>
        <v>-</v>
      </c>
      <c r="J2949" s="538">
        <f t="shared" si="562"/>
        <v>0</v>
      </c>
      <c r="K2949" s="539" t="s">
        <v>2299</v>
      </c>
      <c r="L2949" s="20"/>
    </row>
    <row r="2950" spans="1:19">
      <c r="A2950" s="14" t="s">
        <v>31</v>
      </c>
      <c r="D2950" s="18">
        <v>18</v>
      </c>
      <c r="E2950" s="26" t="str">
        <f t="shared" si="558"/>
        <v>-</v>
      </c>
      <c r="F2950" s="311"/>
      <c r="G2950" s="307" t="str">
        <f t="shared" si="559"/>
        <v>-</v>
      </c>
      <c r="H2950" s="352">
        <f t="shared" si="560"/>
        <v>0</v>
      </c>
      <c r="I2950" s="537" t="str">
        <f t="shared" si="561"/>
        <v>-</v>
      </c>
      <c r="J2950" s="538">
        <f t="shared" si="562"/>
        <v>0</v>
      </c>
      <c r="K2950" s="539" t="s">
        <v>2299</v>
      </c>
      <c r="L2950" s="20"/>
    </row>
    <row r="2951" spans="1:19">
      <c r="A2951" s="14" t="s">
        <v>31</v>
      </c>
      <c r="D2951" s="18">
        <v>19</v>
      </c>
      <c r="E2951" s="26" t="str">
        <f t="shared" si="558"/>
        <v>-</v>
      </c>
      <c r="F2951" s="311"/>
      <c r="G2951" s="307" t="str">
        <f t="shared" si="559"/>
        <v>-</v>
      </c>
      <c r="H2951" s="352">
        <f t="shared" si="560"/>
        <v>0</v>
      </c>
      <c r="I2951" s="537" t="str">
        <f t="shared" si="561"/>
        <v>-</v>
      </c>
      <c r="J2951" s="538">
        <f t="shared" si="562"/>
        <v>0</v>
      </c>
      <c r="K2951" s="539" t="s">
        <v>2299</v>
      </c>
      <c r="L2951" s="20"/>
    </row>
    <row r="2952" spans="1:19">
      <c r="A2952" s="14" t="s">
        <v>31</v>
      </c>
      <c r="D2952" s="18">
        <v>20</v>
      </c>
      <c r="E2952" s="26" t="str">
        <f t="shared" si="558"/>
        <v>-</v>
      </c>
      <c r="F2952" s="311"/>
      <c r="G2952" s="307" t="str">
        <f t="shared" si="559"/>
        <v>-</v>
      </c>
      <c r="H2952" s="352">
        <f t="shared" si="560"/>
        <v>0</v>
      </c>
      <c r="I2952" s="537" t="str">
        <f t="shared" si="561"/>
        <v>-</v>
      </c>
      <c r="J2952" s="541">
        <f t="shared" si="562"/>
        <v>0</v>
      </c>
      <c r="K2952" s="539" t="s">
        <v>2299</v>
      </c>
      <c r="L2952" s="20"/>
    </row>
    <row r="2953" spans="1:19">
      <c r="A2953" s="14">
        <f>A2920+1</f>
        <v>63</v>
      </c>
      <c r="B2953" s="14" t="str">
        <f>"MA" &amp; TEXT(A2953,"##000")</f>
        <v>MA063</v>
      </c>
      <c r="D2953" s="18"/>
      <c r="E2953" s="591" t="s">
        <v>2302</v>
      </c>
      <c r="F2953" s="592"/>
      <c r="G2953" s="592"/>
      <c r="H2953" s="592"/>
      <c r="I2953" s="328"/>
      <c r="J2953" s="353">
        <f>SUM(J2933:J2952)</f>
        <v>36.30440909090909</v>
      </c>
      <c r="K2953" s="365" t="str">
        <f>+F2930</f>
        <v>m2</v>
      </c>
      <c r="L2953" s="20"/>
      <c r="O2953" s="27" t="s">
        <v>1525</v>
      </c>
      <c r="P2953" s="110">
        <v>80</v>
      </c>
    </row>
    <row r="2954" spans="1:19">
      <c r="D2954" s="18"/>
      <c r="E2954" s="593" t="s">
        <v>100</v>
      </c>
      <c r="F2954" s="594"/>
      <c r="G2954" s="594"/>
      <c r="H2954" s="594"/>
      <c r="I2954" s="594"/>
      <c r="J2954" s="595"/>
      <c r="K2954" s="347"/>
      <c r="L2954" s="20"/>
      <c r="O2954" s="27" t="s">
        <v>1524</v>
      </c>
      <c r="P2954" s="110">
        <v>0</v>
      </c>
    </row>
    <row r="2955" spans="1:19">
      <c r="A2955" s="14" t="s">
        <v>84</v>
      </c>
      <c r="D2955" s="18">
        <v>1</v>
      </c>
      <c r="E2955" s="26" t="str">
        <f>VLOOKUP($A2955,MATMO,2,FALSE)</f>
        <v>Oficial</v>
      </c>
      <c r="F2955" s="311">
        <v>1</v>
      </c>
      <c r="G2955" s="307" t="str">
        <f>VLOOKUP($A2955,MATMO,3,FALSE)</f>
        <v>hs</v>
      </c>
      <c r="H2955" s="110">
        <f>VLOOKUP($A2955,MATMO,4,FALSE)*$Q$7</f>
        <v>55.38</v>
      </c>
      <c r="I2955" s="354" t="str">
        <f t="shared" ref="I2955:I2959" si="563">+G2955</f>
        <v>hs</v>
      </c>
      <c r="J2955" s="350">
        <f t="shared" ref="J2955:J2959" si="564">+H2955*F2955</f>
        <v>55.38</v>
      </c>
      <c r="K2955" s="360" t="s">
        <v>2299</v>
      </c>
      <c r="L2955" s="20"/>
      <c r="M2955" s="14" t="s">
        <v>2006</v>
      </c>
      <c r="O2955" s="27" t="s">
        <v>1526</v>
      </c>
      <c r="P2955" s="110">
        <v>0</v>
      </c>
    </row>
    <row r="2956" spans="1:19">
      <c r="A2956" s="14" t="s">
        <v>85</v>
      </c>
      <c r="D2956" s="18">
        <v>2</v>
      </c>
      <c r="E2956" s="26" t="str">
        <f>VLOOKUP($A2956,MATMO,2,FALSE)</f>
        <v>Ayudante</v>
      </c>
      <c r="F2956" s="311">
        <v>0.5</v>
      </c>
      <c r="G2956" s="307" t="str">
        <f>VLOOKUP($A2956,MATMO,3,FALSE)</f>
        <v>hs</v>
      </c>
      <c r="H2956" s="110">
        <f>VLOOKUP($A2956,MATMO,4,FALSE)*$Q$7</f>
        <v>46.87</v>
      </c>
      <c r="I2956" s="354" t="str">
        <f t="shared" si="563"/>
        <v>hs</v>
      </c>
      <c r="J2956" s="350">
        <f t="shared" si="564"/>
        <v>23.434999999999999</v>
      </c>
      <c r="K2956" s="360" t="s">
        <v>2299</v>
      </c>
      <c r="L2956" s="20"/>
      <c r="O2956" s="27" t="s">
        <v>1527</v>
      </c>
      <c r="P2956" s="110">
        <v>0</v>
      </c>
    </row>
    <row r="2957" spans="1:19">
      <c r="A2957" s="14" t="s">
        <v>2311</v>
      </c>
      <c r="D2957" s="18">
        <v>3</v>
      </c>
      <c r="E2957" s="26" t="str">
        <f>VLOOKUP($A2957,MATMO,2,FALSE)</f>
        <v>Cargas Sociales Oficial</v>
      </c>
      <c r="F2957" s="311">
        <f>+F2955</f>
        <v>1</v>
      </c>
      <c r="G2957" s="307" t="str">
        <f>VLOOKUP($A2957,MATMO,3,FALSE)</f>
        <v>hs</v>
      </c>
      <c r="H2957" s="110">
        <f>VLOOKUP($A2957,MATMO,4,FALSE)*$Q$7</f>
        <v>52.742782499999997</v>
      </c>
      <c r="I2957" s="354" t="str">
        <f t="shared" si="563"/>
        <v>hs</v>
      </c>
      <c r="J2957" s="350">
        <f t="shared" si="564"/>
        <v>52.742782499999997</v>
      </c>
      <c r="K2957" s="360" t="s">
        <v>2299</v>
      </c>
      <c r="L2957" s="20"/>
      <c r="O2957" s="27"/>
      <c r="P2957" s="110">
        <v>0</v>
      </c>
    </row>
    <row r="2958" spans="1:19">
      <c r="A2958" s="14" t="s">
        <v>2312</v>
      </c>
      <c r="D2958" s="18">
        <v>4</v>
      </c>
      <c r="E2958" s="26" t="str">
        <f>VLOOKUP($A2958,MATMO,2,FALSE)</f>
        <v>Cargas Sociales Ayudante</v>
      </c>
      <c r="F2958" s="311">
        <f>+F2956</f>
        <v>0.5</v>
      </c>
      <c r="G2958" s="307" t="str">
        <f>VLOOKUP($A2958,MATMO,3,FALSE)</f>
        <v>hs</v>
      </c>
      <c r="H2958" s="110">
        <f>VLOOKUP($A2958,MATMO,4,FALSE)*$Q$7</f>
        <v>45.108248750000001</v>
      </c>
      <c r="I2958" s="354" t="str">
        <f t="shared" si="563"/>
        <v>hs</v>
      </c>
      <c r="J2958" s="350">
        <f t="shared" si="564"/>
        <v>22.554124375000001</v>
      </c>
      <c r="K2958" s="360" t="s">
        <v>2299</v>
      </c>
      <c r="L2958" s="20"/>
      <c r="O2958" s="27"/>
      <c r="P2958" s="110">
        <v>0</v>
      </c>
    </row>
    <row r="2959" spans="1:19" ht="16.5" thickBot="1">
      <c r="A2959" s="14" t="s">
        <v>83</v>
      </c>
      <c r="D2959" s="18">
        <v>5</v>
      </c>
      <c r="E2959" s="26" t="str">
        <f>VLOOKUP($A2959,MATMO,2,FALSE)</f>
        <v>-</v>
      </c>
      <c r="F2959" s="311"/>
      <c r="G2959" s="307" t="str">
        <f>VLOOKUP($A2959,MATMO,3,FALSE)</f>
        <v>-</v>
      </c>
      <c r="H2959" s="110">
        <f>VLOOKUP($A2959,MATMO,4,FALSE)*$Q$7</f>
        <v>0</v>
      </c>
      <c r="I2959" s="537" t="str">
        <f t="shared" si="563"/>
        <v>-</v>
      </c>
      <c r="J2959" s="538">
        <f t="shared" si="564"/>
        <v>0</v>
      </c>
      <c r="K2959" s="539" t="s">
        <v>2299</v>
      </c>
      <c r="L2959" s="20"/>
      <c r="O2959" s="27"/>
      <c r="P2959" s="110">
        <v>0</v>
      </c>
      <c r="R2959" s="29" t="s">
        <v>2307</v>
      </c>
    </row>
    <row r="2960" spans="1:19" ht="16.5" thickBot="1">
      <c r="A2960" s="14">
        <f>A2920+1</f>
        <v>63</v>
      </c>
      <c r="B2960" s="14" t="str">
        <f>"MO" &amp; TEXT(A2960,"##000")</f>
        <v>MO063</v>
      </c>
      <c r="D2960" s="18"/>
      <c r="E2960" s="591" t="s">
        <v>2301</v>
      </c>
      <c r="F2960" s="592"/>
      <c r="G2960" s="592"/>
      <c r="H2960" s="592"/>
      <c r="I2960" s="328"/>
      <c r="J2960" s="362">
        <f>SUM(J2955:J2959)</f>
        <v>154.11190687499999</v>
      </c>
      <c r="K2960" s="365" t="str">
        <f>+G2955</f>
        <v>hs</v>
      </c>
      <c r="L2960" s="20"/>
      <c r="N2960" s="111">
        <f>+P2960+R2960</f>
        <v>152</v>
      </c>
      <c r="O2960" s="27"/>
      <c r="P2960" s="27">
        <f>SUM(P2953:P2959)</f>
        <v>80</v>
      </c>
      <c r="Q2960" s="26">
        <v>0.9</v>
      </c>
      <c r="R2960" s="287">
        <f>+Q2960*P2960</f>
        <v>72</v>
      </c>
      <c r="S2960" s="288"/>
    </row>
    <row r="2961" spans="1:16">
      <c r="D2961" s="18"/>
      <c r="E2961" s="593" t="s">
        <v>101</v>
      </c>
      <c r="F2961" s="594"/>
      <c r="G2961" s="594"/>
      <c r="H2961" s="594"/>
      <c r="I2961" s="594"/>
      <c r="J2961" s="595"/>
      <c r="K2961" s="347"/>
      <c r="L2961" s="20"/>
      <c r="P2961" s="14" t="s">
        <v>2308</v>
      </c>
    </row>
    <row r="2962" spans="1:16">
      <c r="A2962" s="14" t="s">
        <v>119</v>
      </c>
      <c r="D2962" s="18">
        <v>1</v>
      </c>
      <c r="E2962" s="26" t="str">
        <f>VLOOKUP($A2962,MATMO,2,FALSE)</f>
        <v>Herramientas de Mano</v>
      </c>
      <c r="F2962" s="311">
        <v>1</v>
      </c>
      <c r="G2962" s="307" t="str">
        <f>VLOOKUP($A2962,MATMO,3,FALSE)</f>
        <v>gl</v>
      </c>
      <c r="H2962" s="110">
        <f>+(J2953+J2960)*$Q$5</f>
        <v>7.6166526386363627</v>
      </c>
      <c r="I2962" s="345" t="str">
        <f>+G2962</f>
        <v>gl</v>
      </c>
      <c r="J2962" s="350">
        <f t="shared" ref="J2962:J2966" si="565">+H2962*F2962</f>
        <v>7.6166526386363627</v>
      </c>
      <c r="K2962" s="360" t="s">
        <v>2299</v>
      </c>
      <c r="L2962" s="20"/>
      <c r="M2962" s="14" t="s">
        <v>2004</v>
      </c>
    </row>
    <row r="2963" spans="1:16">
      <c r="A2963" s="14" t="s">
        <v>118</v>
      </c>
      <c r="D2963" s="18">
        <v>2</v>
      </c>
      <c r="E2963" s="26" t="str">
        <f>VLOOKUP($A2963,MATMO,2,FALSE)</f>
        <v>-</v>
      </c>
      <c r="F2963" s="311"/>
      <c r="G2963" s="307" t="str">
        <f>VLOOKUP($A2963,MATMO,3,FALSE)</f>
        <v>-</v>
      </c>
      <c r="H2963" s="110">
        <f>VLOOKUP($A2963,MATMO,4,FALSE)*$Q$6</f>
        <v>0</v>
      </c>
      <c r="I2963" s="543" t="str">
        <f t="shared" ref="I2963:I2966" si="566">+G2963</f>
        <v>-</v>
      </c>
      <c r="J2963" s="538">
        <f t="shared" si="565"/>
        <v>0</v>
      </c>
      <c r="K2963" s="539" t="s">
        <v>2299</v>
      </c>
      <c r="L2963" s="20"/>
    </row>
    <row r="2964" spans="1:16">
      <c r="A2964" s="14" t="s">
        <v>118</v>
      </c>
      <c r="D2964" s="18">
        <v>3</v>
      </c>
      <c r="E2964" s="26" t="str">
        <f>VLOOKUP($A2964,MATMO,2,FALSE)</f>
        <v>-</v>
      </c>
      <c r="F2964" s="311"/>
      <c r="G2964" s="307" t="str">
        <f>VLOOKUP($A2964,MATMO,3,FALSE)</f>
        <v>-</v>
      </c>
      <c r="H2964" s="110">
        <f>VLOOKUP($A2964,MATMO,4,FALSE)*$Q$6</f>
        <v>0</v>
      </c>
      <c r="I2964" s="543" t="str">
        <f t="shared" si="566"/>
        <v>-</v>
      </c>
      <c r="J2964" s="538">
        <f t="shared" si="565"/>
        <v>0</v>
      </c>
      <c r="K2964" s="539" t="s">
        <v>2299</v>
      </c>
      <c r="L2964" s="20"/>
    </row>
    <row r="2965" spans="1:16">
      <c r="A2965" s="14" t="s">
        <v>118</v>
      </c>
      <c r="D2965" s="18">
        <v>4</v>
      </c>
      <c r="E2965" s="26" t="str">
        <f>VLOOKUP($A2965,MATMO,2,FALSE)</f>
        <v>-</v>
      </c>
      <c r="F2965" s="311"/>
      <c r="G2965" s="307" t="str">
        <f>VLOOKUP($A2965,MATMO,3,FALSE)</f>
        <v>-</v>
      </c>
      <c r="H2965" s="110">
        <f>VLOOKUP($A2965,MATMO,4,FALSE)*$Q$6</f>
        <v>0</v>
      </c>
      <c r="I2965" s="543" t="str">
        <f t="shared" si="566"/>
        <v>-</v>
      </c>
      <c r="J2965" s="538">
        <f t="shared" si="565"/>
        <v>0</v>
      </c>
      <c r="K2965" s="539" t="s">
        <v>2299</v>
      </c>
      <c r="L2965" s="20"/>
    </row>
    <row r="2966" spans="1:16">
      <c r="A2966" s="14" t="s">
        <v>118</v>
      </c>
      <c r="D2966" s="18">
        <v>5</v>
      </c>
      <c r="E2966" s="26" t="str">
        <f>VLOOKUP($A2966,MATMO,2,FALSE)</f>
        <v>-</v>
      </c>
      <c r="F2966" s="311"/>
      <c r="G2966" s="307" t="str">
        <f>VLOOKUP($A2966,MATMO,3,FALSE)</f>
        <v>-</v>
      </c>
      <c r="H2966" s="110">
        <f>VLOOKUP($A2966,MATMO,4,FALSE)*$Q$6</f>
        <v>0</v>
      </c>
      <c r="I2966" s="543" t="str">
        <f t="shared" si="566"/>
        <v>-</v>
      </c>
      <c r="J2966" s="538">
        <f t="shared" si="565"/>
        <v>0</v>
      </c>
      <c r="K2966" s="539" t="s">
        <v>2299</v>
      </c>
      <c r="L2966" s="20"/>
    </row>
    <row r="2967" spans="1:16">
      <c r="A2967" s="14">
        <f>A2920+1</f>
        <v>63</v>
      </c>
      <c r="B2967" s="14" t="str">
        <f>"E" &amp; TEXT(A2967,"##000")</f>
        <v>E063</v>
      </c>
      <c r="D2967" s="18"/>
      <c r="E2967" s="591" t="s">
        <v>2300</v>
      </c>
      <c r="F2967" s="592"/>
      <c r="G2967" s="592"/>
      <c r="H2967" s="592"/>
      <c r="I2967" s="328"/>
      <c r="J2967" s="362">
        <f>SUM(J2962:J2966)</f>
        <v>7.6166526386363627</v>
      </c>
      <c r="K2967" s="365" t="s">
        <v>116</v>
      </c>
      <c r="L2967" s="20"/>
    </row>
    <row r="2968" spans="1:16">
      <c r="D2968" s="18"/>
      <c r="E2968" s="596"/>
      <c r="F2968" s="597"/>
      <c r="G2968" s="597"/>
      <c r="H2968" s="597"/>
      <c r="I2968" s="597"/>
      <c r="J2968" s="598"/>
      <c r="K2968" s="348"/>
      <c r="L2968" s="20"/>
    </row>
    <row r="2969" spans="1:16">
      <c r="D2969" s="18"/>
      <c r="E2969" s="591" t="s">
        <v>2306</v>
      </c>
      <c r="F2969" s="592"/>
      <c r="G2969" s="592"/>
      <c r="H2969" s="592"/>
      <c r="I2969" s="328"/>
      <c r="J2969" s="308">
        <f>+J2967+J2960+J2953</f>
        <v>198.03296860454543</v>
      </c>
      <c r="K2969" s="365" t="str">
        <f>+F2930</f>
        <v>m2</v>
      </c>
      <c r="L2969" s="20"/>
    </row>
    <row r="2970" spans="1:16">
      <c r="D2970" s="18"/>
      <c r="E2970" s="591" t="s">
        <v>2305</v>
      </c>
      <c r="F2970" s="592"/>
      <c r="G2970" s="592"/>
      <c r="H2970" s="592"/>
      <c r="I2970" s="406">
        <f>+$Q$9</f>
        <v>1.6902999999999999</v>
      </c>
      <c r="J2970" s="308">
        <f>+$Q$9*J2969</f>
        <v>334.73512683226312</v>
      </c>
      <c r="K2970" s="365" t="str">
        <f>+F2930</f>
        <v>m2</v>
      </c>
      <c r="L2970" s="20"/>
    </row>
    <row r="2971" spans="1:16">
      <c r="A2971" s="14">
        <f>A2924+1</f>
        <v>63</v>
      </c>
      <c r="B2971" s="14" t="str">
        <f>"TR" &amp; TEXT(A2971,"##000")</f>
        <v>TR063</v>
      </c>
      <c r="C2971" s="14">
        <f>+C2924+1</f>
        <v>63</v>
      </c>
      <c r="D2971" s="18"/>
      <c r="E2971" s="591" t="s">
        <v>2304</v>
      </c>
      <c r="F2971" s="592"/>
      <c r="G2971" s="592"/>
      <c r="H2971" s="592"/>
      <c r="I2971" s="328"/>
      <c r="J2971" s="308">
        <f>+J2970</f>
        <v>334.73512683226312</v>
      </c>
      <c r="K2971" s="365" t="str">
        <f>+F2930</f>
        <v>m2</v>
      </c>
      <c r="L2971" s="20"/>
    </row>
    <row r="2972" spans="1:16" ht="16.5" thickBot="1">
      <c r="D2972" s="21"/>
      <c r="E2972" s="30"/>
      <c r="F2972" s="30"/>
      <c r="G2972" s="30"/>
      <c r="H2972" s="30"/>
      <c r="I2972" s="30"/>
      <c r="J2972" s="30"/>
      <c r="K2972" s="349"/>
      <c r="L2972" s="22"/>
    </row>
    <row r="2973" spans="1:16" ht="16.5" thickTop="1">
      <c r="D2973" s="15"/>
      <c r="E2973" s="16"/>
      <c r="F2973" s="16"/>
      <c r="G2973" s="16"/>
      <c r="H2973" s="16"/>
      <c r="I2973" s="16"/>
      <c r="J2973" s="16"/>
      <c r="K2973" s="16"/>
      <c r="L2973" s="17"/>
    </row>
    <row r="2974" spans="1:16">
      <c r="A2974" s="14" t="s">
        <v>2049</v>
      </c>
      <c r="D2974" s="18"/>
      <c r="E2974" s="23" t="s">
        <v>95</v>
      </c>
      <c r="F2974" s="364" t="str">
        <f>VLOOKUP($A2974,DATRUB,3,FALSE)</f>
        <v>RUBRO XVIII:</v>
      </c>
      <c r="G2974" s="599" t="str">
        <f>VLOOKUP($A2974,DATRUB,4,FALSE)</f>
        <v>PINTURAS</v>
      </c>
      <c r="H2974" s="599"/>
      <c r="I2974" s="599"/>
      <c r="J2974" s="599"/>
      <c r="K2974" s="599"/>
      <c r="L2974" s="20"/>
    </row>
    <row r="2975" spans="1:16" ht="35.1" customHeight="1">
      <c r="A2975" s="14" t="s">
        <v>2332</v>
      </c>
      <c r="D2975" s="18"/>
      <c r="E2975" s="23" t="s">
        <v>96</v>
      </c>
      <c r="F2975" s="399">
        <f>VLOOKUP($A2975,DATRUB,3,FALSE)</f>
        <v>18.399999999999999</v>
      </c>
      <c r="G2975" s="599" t="str">
        <f>VLOOKUP($A2975,DATRUB,4,FALSE)</f>
        <v>Esmalte Sintetico en Carpinterias</v>
      </c>
      <c r="H2975" s="599"/>
      <c r="I2975" s="599"/>
      <c r="J2975" s="599"/>
      <c r="K2975" s="599"/>
      <c r="L2975" s="20"/>
    </row>
    <row r="2976" spans="1:16" ht="35.1" customHeight="1">
      <c r="A2976" s="14" t="s">
        <v>2332</v>
      </c>
      <c r="D2976" s="18"/>
      <c r="E2976" s="23" t="s">
        <v>97</v>
      </c>
      <c r="F2976" s="399">
        <f>VLOOKUP($A2976,DATRUB,3,FALSE)</f>
        <v>18.399999999999999</v>
      </c>
      <c r="G2976" s="599" t="str">
        <f>VLOOKUP($A2976,DATRUB,4,FALSE)</f>
        <v>Esmalte Sintetico en Carpinterias</v>
      </c>
      <c r="H2976" s="599"/>
      <c r="I2976" s="599"/>
      <c r="J2976" s="599"/>
      <c r="K2976" s="599"/>
      <c r="L2976" s="20"/>
    </row>
    <row r="2977" spans="1:13">
      <c r="D2977" s="18"/>
      <c r="E2977" s="23" t="s">
        <v>98</v>
      </c>
      <c r="F2977" s="364" t="str">
        <f>VLOOKUP($A2976,DATRUB,5,FALSE)</f>
        <v>m2</v>
      </c>
      <c r="G2977" s="600"/>
      <c r="H2977" s="600"/>
      <c r="I2977" s="600"/>
      <c r="J2977" s="600"/>
      <c r="K2977" s="600"/>
      <c r="L2977" s="20"/>
    </row>
    <row r="2978" spans="1:13">
      <c r="D2978" s="18"/>
      <c r="E2978" s="364" t="s">
        <v>1158</v>
      </c>
      <c r="F2978" s="363" t="s">
        <v>1250</v>
      </c>
      <c r="G2978" s="364" t="s">
        <v>24</v>
      </c>
      <c r="H2978" s="364" t="s">
        <v>25</v>
      </c>
      <c r="I2978" s="364" t="s">
        <v>24</v>
      </c>
      <c r="J2978" s="364" t="s">
        <v>2298</v>
      </c>
      <c r="K2978" s="364" t="s">
        <v>24</v>
      </c>
      <c r="L2978" s="20"/>
    </row>
    <row r="2979" spans="1:13">
      <c r="D2979" s="18"/>
      <c r="E2979" s="593" t="s">
        <v>99</v>
      </c>
      <c r="F2979" s="594"/>
      <c r="G2979" s="594"/>
      <c r="H2979" s="594"/>
      <c r="I2979" s="594"/>
      <c r="J2979" s="594"/>
      <c r="K2979" s="595"/>
      <c r="L2979" s="20"/>
    </row>
    <row r="2980" spans="1:13">
      <c r="A2980" s="14" t="s">
        <v>2504</v>
      </c>
      <c r="D2980" s="18">
        <v>1</v>
      </c>
      <c r="E2980" s="355" t="str">
        <f t="shared" ref="E2980:E2999" si="567">VLOOKUP($A2980,MATMO,2,FALSE)</f>
        <v>Anti oxido Fos. De Sing T. Doble</v>
      </c>
      <c r="F2980" s="356">
        <v>0.3</v>
      </c>
      <c r="G2980" s="357" t="str">
        <f t="shared" ref="G2980:G2999" si="568">VLOOKUP($A2980,MATMO,3,FALSE)</f>
        <v>lts</v>
      </c>
      <c r="H2980" s="358">
        <f t="shared" ref="H2980:H2999" si="569">VLOOKUP($A2980,MATMO,4,FALSE)*$Q$6</f>
        <v>99.173553719008268</v>
      </c>
      <c r="I2980" s="359" t="str">
        <f t="shared" ref="I2980:I2999" si="570">+G2980</f>
        <v>lts</v>
      </c>
      <c r="J2980" s="361">
        <f>+H2980*F2980</f>
        <v>29.75206611570248</v>
      </c>
      <c r="K2980" s="360" t="s">
        <v>2299</v>
      </c>
      <c r="L2980" s="20"/>
      <c r="M2980" s="14" t="s">
        <v>2005</v>
      </c>
    </row>
    <row r="2981" spans="1:13">
      <c r="A2981" s="14" t="s">
        <v>2500</v>
      </c>
      <c r="D2981" s="18">
        <v>2</v>
      </c>
      <c r="E2981" s="26" t="str">
        <f t="shared" si="567"/>
        <v>Pincel</v>
      </c>
      <c r="F2981" s="311">
        <v>0.02</v>
      </c>
      <c r="G2981" s="307" t="str">
        <f t="shared" si="568"/>
        <v>un</v>
      </c>
      <c r="H2981" s="351">
        <f t="shared" si="569"/>
        <v>63.63636363636364</v>
      </c>
      <c r="I2981" s="354" t="str">
        <f t="shared" si="570"/>
        <v>un</v>
      </c>
      <c r="J2981" s="350">
        <f t="shared" ref="J2981:J2999" si="571">+H2981*F2981</f>
        <v>1.2727272727272729</v>
      </c>
      <c r="K2981" s="360" t="s">
        <v>2299</v>
      </c>
      <c r="L2981" s="20"/>
    </row>
    <row r="2982" spans="1:13">
      <c r="A2982" s="14" t="s">
        <v>2505</v>
      </c>
      <c r="D2982" s="18">
        <v>3</v>
      </c>
      <c r="E2982" s="26" t="str">
        <f t="shared" si="567"/>
        <v xml:space="preserve">Thinner </v>
      </c>
      <c r="F2982" s="311">
        <v>0.02</v>
      </c>
      <c r="G2982" s="307" t="str">
        <f t="shared" si="568"/>
        <v>lts</v>
      </c>
      <c r="H2982" s="351">
        <f t="shared" si="569"/>
        <v>34.545454545454547</v>
      </c>
      <c r="I2982" s="354" t="str">
        <f t="shared" si="570"/>
        <v>lts</v>
      </c>
      <c r="J2982" s="350">
        <f t="shared" si="571"/>
        <v>0.69090909090909092</v>
      </c>
      <c r="K2982" s="360" t="s">
        <v>2299</v>
      </c>
      <c r="L2982" s="20"/>
    </row>
    <row r="2983" spans="1:13">
      <c r="A2983" s="14" t="s">
        <v>31</v>
      </c>
      <c r="D2983" s="18">
        <v>4</v>
      </c>
      <c r="E2983" s="26" t="str">
        <f t="shared" si="567"/>
        <v>-</v>
      </c>
      <c r="F2983" s="311"/>
      <c r="G2983" s="307" t="str">
        <f t="shared" si="568"/>
        <v>-</v>
      </c>
      <c r="H2983" s="351">
        <f t="shared" si="569"/>
        <v>0</v>
      </c>
      <c r="I2983" s="537" t="str">
        <f t="shared" si="570"/>
        <v>-</v>
      </c>
      <c r="J2983" s="538">
        <f t="shared" si="571"/>
        <v>0</v>
      </c>
      <c r="K2983" s="539" t="s">
        <v>2299</v>
      </c>
      <c r="L2983" s="20"/>
    </row>
    <row r="2984" spans="1:13">
      <c r="A2984" s="14" t="s">
        <v>31</v>
      </c>
      <c r="D2984" s="18">
        <v>5</v>
      </c>
      <c r="E2984" s="26" t="str">
        <f t="shared" si="567"/>
        <v>-</v>
      </c>
      <c r="F2984" s="311"/>
      <c r="G2984" s="307" t="str">
        <f t="shared" si="568"/>
        <v>-</v>
      </c>
      <c r="H2984" s="351">
        <f t="shared" si="569"/>
        <v>0</v>
      </c>
      <c r="I2984" s="537" t="str">
        <f t="shared" si="570"/>
        <v>-</v>
      </c>
      <c r="J2984" s="538">
        <f t="shared" si="571"/>
        <v>0</v>
      </c>
      <c r="K2984" s="539" t="s">
        <v>2299</v>
      </c>
      <c r="L2984" s="20"/>
    </row>
    <row r="2985" spans="1:13">
      <c r="A2985" s="14" t="s">
        <v>31</v>
      </c>
      <c r="D2985" s="18">
        <v>6</v>
      </c>
      <c r="E2985" s="26" t="str">
        <f t="shared" si="567"/>
        <v>-</v>
      </c>
      <c r="F2985" s="311"/>
      <c r="G2985" s="307" t="str">
        <f t="shared" si="568"/>
        <v>-</v>
      </c>
      <c r="H2985" s="351">
        <f t="shared" si="569"/>
        <v>0</v>
      </c>
      <c r="I2985" s="537" t="str">
        <f t="shared" si="570"/>
        <v>-</v>
      </c>
      <c r="J2985" s="538">
        <f t="shared" si="571"/>
        <v>0</v>
      </c>
      <c r="K2985" s="539" t="s">
        <v>2299</v>
      </c>
      <c r="L2985" s="20"/>
    </row>
    <row r="2986" spans="1:13">
      <c r="A2986" s="14" t="s">
        <v>31</v>
      </c>
      <c r="D2986" s="18">
        <v>7</v>
      </c>
      <c r="E2986" s="26" t="str">
        <f t="shared" si="567"/>
        <v>-</v>
      </c>
      <c r="F2986" s="311"/>
      <c r="G2986" s="307" t="str">
        <f t="shared" si="568"/>
        <v>-</v>
      </c>
      <c r="H2986" s="351">
        <f t="shared" si="569"/>
        <v>0</v>
      </c>
      <c r="I2986" s="537" t="str">
        <f t="shared" si="570"/>
        <v>-</v>
      </c>
      <c r="J2986" s="538">
        <f t="shared" si="571"/>
        <v>0</v>
      </c>
      <c r="K2986" s="539" t="s">
        <v>2299</v>
      </c>
      <c r="L2986" s="20"/>
    </row>
    <row r="2987" spans="1:13">
      <c r="A2987" s="14" t="s">
        <v>31</v>
      </c>
      <c r="D2987" s="18">
        <v>8</v>
      </c>
      <c r="E2987" s="26" t="str">
        <f t="shared" si="567"/>
        <v>-</v>
      </c>
      <c r="F2987" s="311"/>
      <c r="G2987" s="307" t="str">
        <f t="shared" si="568"/>
        <v>-</v>
      </c>
      <c r="H2987" s="351">
        <f t="shared" si="569"/>
        <v>0</v>
      </c>
      <c r="I2987" s="537" t="str">
        <f t="shared" si="570"/>
        <v>-</v>
      </c>
      <c r="J2987" s="538">
        <f t="shared" si="571"/>
        <v>0</v>
      </c>
      <c r="K2987" s="539" t="s">
        <v>2299</v>
      </c>
      <c r="L2987" s="20"/>
    </row>
    <row r="2988" spans="1:13">
      <c r="A2988" s="14" t="s">
        <v>31</v>
      </c>
      <c r="D2988" s="18">
        <v>9</v>
      </c>
      <c r="E2988" s="26" t="str">
        <f t="shared" si="567"/>
        <v>-</v>
      </c>
      <c r="F2988" s="311"/>
      <c r="G2988" s="307" t="str">
        <f t="shared" si="568"/>
        <v>-</v>
      </c>
      <c r="H2988" s="351">
        <f t="shared" si="569"/>
        <v>0</v>
      </c>
      <c r="I2988" s="537" t="str">
        <f t="shared" si="570"/>
        <v>-</v>
      </c>
      <c r="J2988" s="538">
        <f t="shared" si="571"/>
        <v>0</v>
      </c>
      <c r="K2988" s="539" t="s">
        <v>2299</v>
      </c>
      <c r="L2988" s="20"/>
    </row>
    <row r="2989" spans="1:13">
      <c r="A2989" s="14" t="s">
        <v>31</v>
      </c>
      <c r="D2989" s="18">
        <v>10</v>
      </c>
      <c r="E2989" s="26" t="str">
        <f t="shared" si="567"/>
        <v>-</v>
      </c>
      <c r="F2989" s="311"/>
      <c r="G2989" s="307" t="str">
        <f t="shared" si="568"/>
        <v>-</v>
      </c>
      <c r="H2989" s="351">
        <f t="shared" si="569"/>
        <v>0</v>
      </c>
      <c r="I2989" s="537" t="str">
        <f t="shared" si="570"/>
        <v>-</v>
      </c>
      <c r="J2989" s="538">
        <f t="shared" si="571"/>
        <v>0</v>
      </c>
      <c r="K2989" s="539" t="s">
        <v>2299</v>
      </c>
      <c r="L2989" s="20"/>
    </row>
    <row r="2990" spans="1:13">
      <c r="A2990" s="14" t="s">
        <v>31</v>
      </c>
      <c r="D2990" s="18">
        <v>11</v>
      </c>
      <c r="E2990" s="26" t="str">
        <f t="shared" si="567"/>
        <v>-</v>
      </c>
      <c r="F2990" s="311"/>
      <c r="G2990" s="307" t="str">
        <f t="shared" si="568"/>
        <v>-</v>
      </c>
      <c r="H2990" s="351">
        <f t="shared" si="569"/>
        <v>0</v>
      </c>
      <c r="I2990" s="537" t="str">
        <f t="shared" si="570"/>
        <v>-</v>
      </c>
      <c r="J2990" s="538">
        <f t="shared" si="571"/>
        <v>0</v>
      </c>
      <c r="K2990" s="539" t="s">
        <v>2299</v>
      </c>
      <c r="L2990" s="20"/>
    </row>
    <row r="2991" spans="1:13">
      <c r="A2991" s="14" t="s">
        <v>31</v>
      </c>
      <c r="D2991" s="18">
        <v>12</v>
      </c>
      <c r="E2991" s="26" t="str">
        <f t="shared" si="567"/>
        <v>-</v>
      </c>
      <c r="F2991" s="311"/>
      <c r="G2991" s="307" t="str">
        <f t="shared" si="568"/>
        <v>-</v>
      </c>
      <c r="H2991" s="352">
        <f t="shared" si="569"/>
        <v>0</v>
      </c>
      <c r="I2991" s="537" t="str">
        <f t="shared" si="570"/>
        <v>-</v>
      </c>
      <c r="J2991" s="538">
        <f t="shared" si="571"/>
        <v>0</v>
      </c>
      <c r="K2991" s="539" t="s">
        <v>2299</v>
      </c>
      <c r="L2991" s="20"/>
    </row>
    <row r="2992" spans="1:13">
      <c r="A2992" s="14" t="s">
        <v>31</v>
      </c>
      <c r="D2992" s="18">
        <v>13</v>
      </c>
      <c r="E2992" s="26" t="str">
        <f t="shared" si="567"/>
        <v>-</v>
      </c>
      <c r="F2992" s="311"/>
      <c r="G2992" s="307" t="str">
        <f t="shared" si="568"/>
        <v>-</v>
      </c>
      <c r="H2992" s="352">
        <f t="shared" si="569"/>
        <v>0</v>
      </c>
      <c r="I2992" s="537" t="str">
        <f t="shared" si="570"/>
        <v>-</v>
      </c>
      <c r="J2992" s="538">
        <f t="shared" si="571"/>
        <v>0</v>
      </c>
      <c r="K2992" s="539" t="s">
        <v>2299</v>
      </c>
      <c r="L2992" s="20"/>
    </row>
    <row r="2993" spans="1:19">
      <c r="A2993" s="14" t="s">
        <v>31</v>
      </c>
      <c r="D2993" s="18">
        <v>14</v>
      </c>
      <c r="E2993" s="26" t="str">
        <f t="shared" si="567"/>
        <v>-</v>
      </c>
      <c r="F2993" s="311"/>
      <c r="G2993" s="307" t="str">
        <f t="shared" si="568"/>
        <v>-</v>
      </c>
      <c r="H2993" s="352">
        <f t="shared" si="569"/>
        <v>0</v>
      </c>
      <c r="I2993" s="537" t="str">
        <f t="shared" si="570"/>
        <v>-</v>
      </c>
      <c r="J2993" s="538">
        <f t="shared" si="571"/>
        <v>0</v>
      </c>
      <c r="K2993" s="539" t="s">
        <v>2299</v>
      </c>
      <c r="L2993" s="20"/>
    </row>
    <row r="2994" spans="1:19">
      <c r="A2994" s="14" t="s">
        <v>31</v>
      </c>
      <c r="D2994" s="18">
        <v>15</v>
      </c>
      <c r="E2994" s="26" t="str">
        <f t="shared" si="567"/>
        <v>-</v>
      </c>
      <c r="F2994" s="311"/>
      <c r="G2994" s="307" t="str">
        <f t="shared" si="568"/>
        <v>-</v>
      </c>
      <c r="H2994" s="352">
        <f t="shared" si="569"/>
        <v>0</v>
      </c>
      <c r="I2994" s="537" t="str">
        <f t="shared" si="570"/>
        <v>-</v>
      </c>
      <c r="J2994" s="538">
        <f t="shared" si="571"/>
        <v>0</v>
      </c>
      <c r="K2994" s="539" t="s">
        <v>2299</v>
      </c>
      <c r="L2994" s="20"/>
    </row>
    <row r="2995" spans="1:19">
      <c r="A2995" s="14" t="s">
        <v>31</v>
      </c>
      <c r="D2995" s="18">
        <v>16</v>
      </c>
      <c r="E2995" s="26" t="str">
        <f t="shared" si="567"/>
        <v>-</v>
      </c>
      <c r="F2995" s="311"/>
      <c r="G2995" s="307" t="str">
        <f t="shared" si="568"/>
        <v>-</v>
      </c>
      <c r="H2995" s="352">
        <f t="shared" si="569"/>
        <v>0</v>
      </c>
      <c r="I2995" s="537" t="str">
        <f t="shared" si="570"/>
        <v>-</v>
      </c>
      <c r="J2995" s="538">
        <f t="shared" si="571"/>
        <v>0</v>
      </c>
      <c r="K2995" s="539" t="s">
        <v>2299</v>
      </c>
      <c r="L2995" s="20"/>
    </row>
    <row r="2996" spans="1:19">
      <c r="A2996" s="14" t="s">
        <v>31</v>
      </c>
      <c r="D2996" s="18">
        <v>17</v>
      </c>
      <c r="E2996" s="26" t="str">
        <f t="shared" si="567"/>
        <v>-</v>
      </c>
      <c r="F2996" s="311"/>
      <c r="G2996" s="307" t="str">
        <f t="shared" si="568"/>
        <v>-</v>
      </c>
      <c r="H2996" s="352">
        <f t="shared" si="569"/>
        <v>0</v>
      </c>
      <c r="I2996" s="537" t="str">
        <f t="shared" si="570"/>
        <v>-</v>
      </c>
      <c r="J2996" s="538">
        <f t="shared" si="571"/>
        <v>0</v>
      </c>
      <c r="K2996" s="539" t="s">
        <v>2299</v>
      </c>
      <c r="L2996" s="20"/>
    </row>
    <row r="2997" spans="1:19">
      <c r="A2997" s="14" t="s">
        <v>31</v>
      </c>
      <c r="D2997" s="18">
        <v>18</v>
      </c>
      <c r="E2997" s="26" t="str">
        <f t="shared" si="567"/>
        <v>-</v>
      </c>
      <c r="F2997" s="311"/>
      <c r="G2997" s="307" t="str">
        <f t="shared" si="568"/>
        <v>-</v>
      </c>
      <c r="H2997" s="352">
        <f t="shared" si="569"/>
        <v>0</v>
      </c>
      <c r="I2997" s="537" t="str">
        <f t="shared" si="570"/>
        <v>-</v>
      </c>
      <c r="J2997" s="538">
        <f t="shared" si="571"/>
        <v>0</v>
      </c>
      <c r="K2997" s="539" t="s">
        <v>2299</v>
      </c>
      <c r="L2997" s="20"/>
    </row>
    <row r="2998" spans="1:19">
      <c r="A2998" s="14" t="s">
        <v>31</v>
      </c>
      <c r="D2998" s="18">
        <v>19</v>
      </c>
      <c r="E2998" s="26" t="str">
        <f t="shared" si="567"/>
        <v>-</v>
      </c>
      <c r="F2998" s="311"/>
      <c r="G2998" s="307" t="str">
        <f t="shared" si="568"/>
        <v>-</v>
      </c>
      <c r="H2998" s="352">
        <f t="shared" si="569"/>
        <v>0</v>
      </c>
      <c r="I2998" s="537" t="str">
        <f t="shared" si="570"/>
        <v>-</v>
      </c>
      <c r="J2998" s="538">
        <f t="shared" si="571"/>
        <v>0</v>
      </c>
      <c r="K2998" s="539" t="s">
        <v>2299</v>
      </c>
      <c r="L2998" s="20"/>
    </row>
    <row r="2999" spans="1:19">
      <c r="A2999" s="14" t="s">
        <v>31</v>
      </c>
      <c r="D2999" s="18">
        <v>20</v>
      </c>
      <c r="E2999" s="26" t="str">
        <f t="shared" si="567"/>
        <v>-</v>
      </c>
      <c r="F2999" s="311"/>
      <c r="G2999" s="307" t="str">
        <f t="shared" si="568"/>
        <v>-</v>
      </c>
      <c r="H2999" s="352">
        <f t="shared" si="569"/>
        <v>0</v>
      </c>
      <c r="I2999" s="537" t="str">
        <f t="shared" si="570"/>
        <v>-</v>
      </c>
      <c r="J2999" s="541">
        <f t="shared" si="571"/>
        <v>0</v>
      </c>
      <c r="K2999" s="539" t="s">
        <v>2299</v>
      </c>
      <c r="L2999" s="20"/>
    </row>
    <row r="3000" spans="1:19">
      <c r="A3000" s="14">
        <f>A2967+1</f>
        <v>64</v>
      </c>
      <c r="B3000" s="14" t="str">
        <f>"MA" &amp; TEXT(A3000,"##000")</f>
        <v>MA064</v>
      </c>
      <c r="D3000" s="18"/>
      <c r="E3000" s="591" t="s">
        <v>2302</v>
      </c>
      <c r="F3000" s="592"/>
      <c r="G3000" s="592"/>
      <c r="H3000" s="592"/>
      <c r="I3000" s="328"/>
      <c r="J3000" s="353">
        <f>SUM(J2980:J2999)</f>
        <v>31.715702479338844</v>
      </c>
      <c r="K3000" s="365" t="str">
        <f>+F2977</f>
        <v>m2</v>
      </c>
      <c r="L3000" s="20"/>
      <c r="O3000" s="27" t="s">
        <v>1525</v>
      </c>
      <c r="P3000" s="110">
        <v>80</v>
      </c>
    </row>
    <row r="3001" spans="1:19">
      <c r="D3001" s="18"/>
      <c r="E3001" s="593" t="s">
        <v>100</v>
      </c>
      <c r="F3001" s="594"/>
      <c r="G3001" s="594"/>
      <c r="H3001" s="594"/>
      <c r="I3001" s="594"/>
      <c r="J3001" s="595"/>
      <c r="K3001" s="347"/>
      <c r="L3001" s="20"/>
      <c r="O3001" s="27" t="s">
        <v>1524</v>
      </c>
      <c r="P3001" s="110">
        <v>0</v>
      </c>
    </row>
    <row r="3002" spans="1:19">
      <c r="A3002" s="14" t="s">
        <v>84</v>
      </c>
      <c r="D3002" s="18">
        <v>1</v>
      </c>
      <c r="E3002" s="26" t="str">
        <f>VLOOKUP($A3002,MATMO,2,FALSE)</f>
        <v>Oficial</v>
      </c>
      <c r="F3002" s="311">
        <v>1</v>
      </c>
      <c r="G3002" s="307" t="str">
        <f>VLOOKUP($A3002,MATMO,3,FALSE)</f>
        <v>hs</v>
      </c>
      <c r="H3002" s="110">
        <f>VLOOKUP($A3002,MATMO,4,FALSE)*$Q$7</f>
        <v>55.38</v>
      </c>
      <c r="I3002" s="354" t="str">
        <f t="shared" ref="I3002:I3006" si="572">+G3002</f>
        <v>hs</v>
      </c>
      <c r="J3002" s="350">
        <f t="shared" ref="J3002:J3006" si="573">+H3002*F3002</f>
        <v>55.38</v>
      </c>
      <c r="K3002" s="360" t="s">
        <v>2299</v>
      </c>
      <c r="L3002" s="20"/>
      <c r="M3002" s="14" t="s">
        <v>2006</v>
      </c>
      <c r="O3002" s="27" t="s">
        <v>1526</v>
      </c>
      <c r="P3002" s="110">
        <v>0</v>
      </c>
    </row>
    <row r="3003" spans="1:19">
      <c r="A3003" s="14" t="s">
        <v>85</v>
      </c>
      <c r="D3003" s="18">
        <v>2</v>
      </c>
      <c r="E3003" s="26" t="str">
        <f>VLOOKUP($A3003,MATMO,2,FALSE)</f>
        <v>Ayudante</v>
      </c>
      <c r="F3003" s="311">
        <v>0.5</v>
      </c>
      <c r="G3003" s="307" t="str">
        <f>VLOOKUP($A3003,MATMO,3,FALSE)</f>
        <v>hs</v>
      </c>
      <c r="H3003" s="110">
        <f>VLOOKUP($A3003,MATMO,4,FALSE)*$Q$7</f>
        <v>46.87</v>
      </c>
      <c r="I3003" s="354" t="str">
        <f t="shared" si="572"/>
        <v>hs</v>
      </c>
      <c r="J3003" s="350">
        <f t="shared" si="573"/>
        <v>23.434999999999999</v>
      </c>
      <c r="K3003" s="360" t="s">
        <v>2299</v>
      </c>
      <c r="L3003" s="20"/>
      <c r="O3003" s="27" t="s">
        <v>1527</v>
      </c>
      <c r="P3003" s="110">
        <v>0</v>
      </c>
    </row>
    <row r="3004" spans="1:19">
      <c r="A3004" s="14" t="s">
        <v>2311</v>
      </c>
      <c r="D3004" s="18">
        <v>3</v>
      </c>
      <c r="E3004" s="26" t="str">
        <f>VLOOKUP($A3004,MATMO,2,FALSE)</f>
        <v>Cargas Sociales Oficial</v>
      </c>
      <c r="F3004" s="311">
        <f>+F3002</f>
        <v>1</v>
      </c>
      <c r="G3004" s="307" t="str">
        <f>VLOOKUP($A3004,MATMO,3,FALSE)</f>
        <v>hs</v>
      </c>
      <c r="H3004" s="110">
        <f>VLOOKUP($A3004,MATMO,4,FALSE)*$Q$7</f>
        <v>52.742782499999997</v>
      </c>
      <c r="I3004" s="354" t="str">
        <f t="shared" si="572"/>
        <v>hs</v>
      </c>
      <c r="J3004" s="350">
        <f t="shared" si="573"/>
        <v>52.742782499999997</v>
      </c>
      <c r="K3004" s="360" t="s">
        <v>2299</v>
      </c>
      <c r="L3004" s="20"/>
      <c r="O3004" s="27"/>
      <c r="P3004" s="110">
        <v>0</v>
      </c>
    </row>
    <row r="3005" spans="1:19">
      <c r="A3005" s="14" t="s">
        <v>2312</v>
      </c>
      <c r="D3005" s="18">
        <v>4</v>
      </c>
      <c r="E3005" s="26" t="str">
        <f>VLOOKUP($A3005,MATMO,2,FALSE)</f>
        <v>Cargas Sociales Ayudante</v>
      </c>
      <c r="F3005" s="311">
        <f>+F3003</f>
        <v>0.5</v>
      </c>
      <c r="G3005" s="307" t="str">
        <f>VLOOKUP($A3005,MATMO,3,FALSE)</f>
        <v>hs</v>
      </c>
      <c r="H3005" s="110">
        <f>VLOOKUP($A3005,MATMO,4,FALSE)*$Q$7</f>
        <v>45.108248750000001</v>
      </c>
      <c r="I3005" s="354" t="str">
        <f t="shared" si="572"/>
        <v>hs</v>
      </c>
      <c r="J3005" s="350">
        <f t="shared" si="573"/>
        <v>22.554124375000001</v>
      </c>
      <c r="K3005" s="360" t="s">
        <v>2299</v>
      </c>
      <c r="L3005" s="20"/>
      <c r="O3005" s="27"/>
      <c r="P3005" s="110">
        <v>0</v>
      </c>
    </row>
    <row r="3006" spans="1:19" ht="16.5" thickBot="1">
      <c r="A3006" s="14" t="s">
        <v>83</v>
      </c>
      <c r="D3006" s="18">
        <v>5</v>
      </c>
      <c r="E3006" s="26" t="str">
        <f>VLOOKUP($A3006,MATMO,2,FALSE)</f>
        <v>-</v>
      </c>
      <c r="F3006" s="311"/>
      <c r="G3006" s="307" t="str">
        <f>VLOOKUP($A3006,MATMO,3,FALSE)</f>
        <v>-</v>
      </c>
      <c r="H3006" s="110">
        <f>VLOOKUP($A3006,MATMO,4,FALSE)*$Q$7</f>
        <v>0</v>
      </c>
      <c r="I3006" s="537" t="str">
        <f t="shared" si="572"/>
        <v>-</v>
      </c>
      <c r="J3006" s="538">
        <f t="shared" si="573"/>
        <v>0</v>
      </c>
      <c r="K3006" s="539" t="s">
        <v>2299</v>
      </c>
      <c r="L3006" s="20"/>
      <c r="O3006" s="27"/>
      <c r="P3006" s="110">
        <v>0</v>
      </c>
      <c r="R3006" s="29" t="s">
        <v>2307</v>
      </c>
    </row>
    <row r="3007" spans="1:19" ht="16.5" thickBot="1">
      <c r="A3007" s="14">
        <f>A2967+1</f>
        <v>64</v>
      </c>
      <c r="B3007" s="14" t="str">
        <f>"MO" &amp; TEXT(A3007,"##000")</f>
        <v>MO064</v>
      </c>
      <c r="D3007" s="18"/>
      <c r="E3007" s="591" t="s">
        <v>2301</v>
      </c>
      <c r="F3007" s="592"/>
      <c r="G3007" s="592"/>
      <c r="H3007" s="592"/>
      <c r="I3007" s="328"/>
      <c r="J3007" s="362">
        <f>SUM(J3002:J3006)</f>
        <v>154.11190687499999</v>
      </c>
      <c r="K3007" s="365" t="str">
        <f>+G3002</f>
        <v>hs</v>
      </c>
      <c r="L3007" s="20"/>
      <c r="N3007" s="111">
        <f>+P3007+R3007</f>
        <v>152</v>
      </c>
      <c r="O3007" s="27"/>
      <c r="P3007" s="27">
        <f>SUM(P3000:P3006)</f>
        <v>80</v>
      </c>
      <c r="Q3007" s="26">
        <v>0.9</v>
      </c>
      <c r="R3007" s="287">
        <f>+Q3007*P3007</f>
        <v>72</v>
      </c>
      <c r="S3007" s="288"/>
    </row>
    <row r="3008" spans="1:19">
      <c r="D3008" s="18"/>
      <c r="E3008" s="593" t="s">
        <v>101</v>
      </c>
      <c r="F3008" s="594"/>
      <c r="G3008" s="594"/>
      <c r="H3008" s="594"/>
      <c r="I3008" s="594"/>
      <c r="J3008" s="595"/>
      <c r="K3008" s="347"/>
      <c r="L3008" s="20"/>
      <c r="P3008" s="14" t="s">
        <v>2308</v>
      </c>
    </row>
    <row r="3009" spans="1:13">
      <c r="A3009" s="14" t="s">
        <v>119</v>
      </c>
      <c r="D3009" s="18">
        <v>1</v>
      </c>
      <c r="E3009" s="26" t="str">
        <f>VLOOKUP($A3009,MATMO,2,FALSE)</f>
        <v>Herramientas de Mano</v>
      </c>
      <c r="F3009" s="311">
        <v>1</v>
      </c>
      <c r="G3009" s="307" t="str">
        <f>VLOOKUP($A3009,MATMO,3,FALSE)</f>
        <v>gl</v>
      </c>
      <c r="H3009" s="110">
        <f>+(J3000+J3007)*$Q$5</f>
        <v>7.4331043741735536</v>
      </c>
      <c r="I3009" s="345" t="str">
        <f>+G3009</f>
        <v>gl</v>
      </c>
      <c r="J3009" s="350">
        <f t="shared" ref="J3009:J3013" si="574">+H3009*F3009</f>
        <v>7.4331043741735536</v>
      </c>
      <c r="K3009" s="360" t="s">
        <v>2299</v>
      </c>
      <c r="L3009" s="20"/>
      <c r="M3009" s="14" t="s">
        <v>2004</v>
      </c>
    </row>
    <row r="3010" spans="1:13">
      <c r="A3010" s="14" t="s">
        <v>118</v>
      </c>
      <c r="D3010" s="18">
        <v>2</v>
      </c>
      <c r="E3010" s="26" t="str">
        <f>VLOOKUP($A3010,MATMO,2,FALSE)</f>
        <v>-</v>
      </c>
      <c r="F3010" s="311"/>
      <c r="G3010" s="307" t="str">
        <f>VLOOKUP($A3010,MATMO,3,FALSE)</f>
        <v>-</v>
      </c>
      <c r="H3010" s="110">
        <f>VLOOKUP($A3010,MATMO,4,FALSE)*$Q$6</f>
        <v>0</v>
      </c>
      <c r="I3010" s="543" t="str">
        <f t="shared" ref="I3010:I3013" si="575">+G3010</f>
        <v>-</v>
      </c>
      <c r="J3010" s="538">
        <f t="shared" si="574"/>
        <v>0</v>
      </c>
      <c r="K3010" s="539" t="s">
        <v>2299</v>
      </c>
      <c r="L3010" s="20"/>
    </row>
    <row r="3011" spans="1:13">
      <c r="A3011" s="14" t="s">
        <v>118</v>
      </c>
      <c r="D3011" s="18">
        <v>3</v>
      </c>
      <c r="E3011" s="26" t="str">
        <f>VLOOKUP($A3011,MATMO,2,FALSE)</f>
        <v>-</v>
      </c>
      <c r="F3011" s="311"/>
      <c r="G3011" s="307" t="str">
        <f>VLOOKUP($A3011,MATMO,3,FALSE)</f>
        <v>-</v>
      </c>
      <c r="H3011" s="110">
        <f>VLOOKUP($A3011,MATMO,4,FALSE)*$Q$6</f>
        <v>0</v>
      </c>
      <c r="I3011" s="543" t="str">
        <f t="shared" si="575"/>
        <v>-</v>
      </c>
      <c r="J3011" s="538">
        <f t="shared" si="574"/>
        <v>0</v>
      </c>
      <c r="K3011" s="539" t="s">
        <v>2299</v>
      </c>
      <c r="L3011" s="20"/>
    </row>
    <row r="3012" spans="1:13">
      <c r="A3012" s="14" t="s">
        <v>118</v>
      </c>
      <c r="D3012" s="18">
        <v>4</v>
      </c>
      <c r="E3012" s="26" t="str">
        <f>VLOOKUP($A3012,MATMO,2,FALSE)</f>
        <v>-</v>
      </c>
      <c r="F3012" s="311"/>
      <c r="G3012" s="307" t="str">
        <f>VLOOKUP($A3012,MATMO,3,FALSE)</f>
        <v>-</v>
      </c>
      <c r="H3012" s="110">
        <f>VLOOKUP($A3012,MATMO,4,FALSE)*$Q$6</f>
        <v>0</v>
      </c>
      <c r="I3012" s="543" t="str">
        <f t="shared" si="575"/>
        <v>-</v>
      </c>
      <c r="J3012" s="538">
        <f t="shared" si="574"/>
        <v>0</v>
      </c>
      <c r="K3012" s="539" t="s">
        <v>2299</v>
      </c>
      <c r="L3012" s="20"/>
    </row>
    <row r="3013" spans="1:13">
      <c r="A3013" s="14" t="s">
        <v>118</v>
      </c>
      <c r="D3013" s="18">
        <v>5</v>
      </c>
      <c r="E3013" s="26" t="str">
        <f>VLOOKUP($A3013,MATMO,2,FALSE)</f>
        <v>-</v>
      </c>
      <c r="F3013" s="311"/>
      <c r="G3013" s="307" t="str">
        <f>VLOOKUP($A3013,MATMO,3,FALSE)</f>
        <v>-</v>
      </c>
      <c r="H3013" s="110">
        <f>VLOOKUP($A3013,MATMO,4,FALSE)*$Q$6</f>
        <v>0</v>
      </c>
      <c r="I3013" s="543" t="str">
        <f t="shared" si="575"/>
        <v>-</v>
      </c>
      <c r="J3013" s="538">
        <f t="shared" si="574"/>
        <v>0</v>
      </c>
      <c r="K3013" s="539" t="s">
        <v>2299</v>
      </c>
      <c r="L3013" s="20"/>
    </row>
    <row r="3014" spans="1:13">
      <c r="A3014" s="14">
        <f>A2967+1</f>
        <v>64</v>
      </c>
      <c r="B3014" s="14" t="str">
        <f>"E" &amp; TEXT(A3014,"##000")</f>
        <v>E064</v>
      </c>
      <c r="D3014" s="18"/>
      <c r="E3014" s="591" t="s">
        <v>2300</v>
      </c>
      <c r="F3014" s="592"/>
      <c r="G3014" s="592"/>
      <c r="H3014" s="592"/>
      <c r="I3014" s="328"/>
      <c r="J3014" s="362">
        <f>SUM(J3009:J3013)</f>
        <v>7.4331043741735536</v>
      </c>
      <c r="K3014" s="365" t="s">
        <v>116</v>
      </c>
      <c r="L3014" s="20"/>
    </row>
    <row r="3015" spans="1:13">
      <c r="D3015" s="18"/>
      <c r="E3015" s="596"/>
      <c r="F3015" s="597"/>
      <c r="G3015" s="597"/>
      <c r="H3015" s="597"/>
      <c r="I3015" s="597"/>
      <c r="J3015" s="598"/>
      <c r="K3015" s="348"/>
      <c r="L3015" s="20"/>
    </row>
    <row r="3016" spans="1:13">
      <c r="D3016" s="18"/>
      <c r="E3016" s="591" t="s">
        <v>2306</v>
      </c>
      <c r="F3016" s="592"/>
      <c r="G3016" s="592"/>
      <c r="H3016" s="592"/>
      <c r="I3016" s="328"/>
      <c r="J3016" s="308">
        <f>+J3014+J3007+J3000</f>
        <v>193.26071372851237</v>
      </c>
      <c r="K3016" s="365" t="str">
        <f>+F2977</f>
        <v>m2</v>
      </c>
      <c r="L3016" s="20"/>
    </row>
    <row r="3017" spans="1:13">
      <c r="D3017" s="18"/>
      <c r="E3017" s="591" t="s">
        <v>2305</v>
      </c>
      <c r="F3017" s="592"/>
      <c r="G3017" s="592"/>
      <c r="H3017" s="592"/>
      <c r="I3017" s="406">
        <f>+$Q$9</f>
        <v>1.6902999999999999</v>
      </c>
      <c r="J3017" s="308">
        <f>+$Q$9*J3016</f>
        <v>326.66858441530445</v>
      </c>
      <c r="K3017" s="365" t="str">
        <f>+F2977</f>
        <v>m2</v>
      </c>
      <c r="L3017" s="20"/>
    </row>
    <row r="3018" spans="1:13">
      <c r="A3018" s="14">
        <f>A2971+1</f>
        <v>64</v>
      </c>
      <c r="B3018" s="14" t="str">
        <f>"TR" &amp; TEXT(A3018,"##000")</f>
        <v>TR064</v>
      </c>
      <c r="C3018" s="14">
        <f>+C2971+1</f>
        <v>64</v>
      </c>
      <c r="D3018" s="18"/>
      <c r="E3018" s="591" t="s">
        <v>2304</v>
      </c>
      <c r="F3018" s="592"/>
      <c r="G3018" s="592"/>
      <c r="H3018" s="592"/>
      <c r="I3018" s="328"/>
      <c r="J3018" s="308">
        <f>+J3017</f>
        <v>326.66858441530445</v>
      </c>
      <c r="K3018" s="365" t="str">
        <f>+F2977</f>
        <v>m2</v>
      </c>
      <c r="L3018" s="20"/>
    </row>
    <row r="3019" spans="1:13" ht="16.5" thickBot="1">
      <c r="D3019" s="21"/>
      <c r="E3019" s="30"/>
      <c r="F3019" s="30"/>
      <c r="G3019" s="30"/>
      <c r="H3019" s="30"/>
      <c r="I3019" s="30"/>
      <c r="J3019" s="30"/>
      <c r="K3019" s="349"/>
      <c r="L3019" s="22"/>
    </row>
    <row r="3020" spans="1:13" ht="16.5" thickTop="1">
      <c r="D3020" s="15"/>
      <c r="E3020" s="16"/>
      <c r="F3020" s="16"/>
      <c r="G3020" s="16"/>
      <c r="H3020" s="16"/>
      <c r="I3020" s="16"/>
      <c r="J3020" s="16"/>
      <c r="K3020" s="16"/>
      <c r="L3020" s="17"/>
    </row>
    <row r="3021" spans="1:13">
      <c r="A3021" s="14" t="s">
        <v>2024</v>
      </c>
      <c r="D3021" s="18"/>
      <c r="E3021" s="23" t="s">
        <v>95</v>
      </c>
      <c r="F3021" s="364" t="str">
        <f>VLOOKUP($A3021,DATRUB,3,FALSE)</f>
        <v>RUBRO XX:</v>
      </c>
      <c r="G3021" s="599" t="str">
        <f>VLOOKUP($A3021,DATRUB,4,FALSE)</f>
        <v xml:space="preserve"> VARIOS</v>
      </c>
      <c r="H3021" s="599"/>
      <c r="I3021" s="599"/>
      <c r="J3021" s="599"/>
      <c r="K3021" s="599"/>
      <c r="L3021" s="20"/>
    </row>
    <row r="3022" spans="1:13" ht="35.1" customHeight="1">
      <c r="A3022" s="14" t="s">
        <v>2025</v>
      </c>
      <c r="D3022" s="18"/>
      <c r="E3022" s="23" t="s">
        <v>96</v>
      </c>
      <c r="F3022" s="399">
        <f>VLOOKUP($A3022,DATRUB,3,FALSE)</f>
        <v>20.100000000000001</v>
      </c>
      <c r="G3022" s="599" t="str">
        <f>VLOOKUP($A3022,DATRUB,4,FALSE)</f>
        <v>Limpieza de Obra</v>
      </c>
      <c r="H3022" s="599"/>
      <c r="I3022" s="599"/>
      <c r="J3022" s="599"/>
      <c r="K3022" s="599"/>
      <c r="L3022" s="20"/>
    </row>
    <row r="3023" spans="1:13" ht="35.1" customHeight="1">
      <c r="A3023" s="14" t="s">
        <v>2025</v>
      </c>
      <c r="D3023" s="18"/>
      <c r="E3023" s="23" t="s">
        <v>97</v>
      </c>
      <c r="F3023" s="399">
        <f>VLOOKUP($A3023,DATRUB,3,FALSE)</f>
        <v>20.100000000000001</v>
      </c>
      <c r="G3023" s="599" t="str">
        <f>VLOOKUP($A3023,DATRUB,4,FALSE)</f>
        <v>Limpieza de Obra</v>
      </c>
      <c r="H3023" s="599"/>
      <c r="I3023" s="599"/>
      <c r="J3023" s="599"/>
      <c r="K3023" s="599"/>
      <c r="L3023" s="20"/>
    </row>
    <row r="3024" spans="1:13">
      <c r="D3024" s="18"/>
      <c r="E3024" s="23" t="s">
        <v>98</v>
      </c>
      <c r="F3024" s="364" t="str">
        <f>VLOOKUP($A3023,DATRUB,5,FALSE)</f>
        <v>gl</v>
      </c>
      <c r="G3024" s="600"/>
      <c r="H3024" s="600"/>
      <c r="I3024" s="600"/>
      <c r="J3024" s="600"/>
      <c r="K3024" s="600"/>
      <c r="L3024" s="20"/>
    </row>
    <row r="3025" spans="1:13">
      <c r="D3025" s="18"/>
      <c r="E3025" s="364" t="s">
        <v>1158</v>
      </c>
      <c r="F3025" s="363" t="s">
        <v>1250</v>
      </c>
      <c r="G3025" s="364" t="s">
        <v>24</v>
      </c>
      <c r="H3025" s="364" t="s">
        <v>25</v>
      </c>
      <c r="I3025" s="364" t="s">
        <v>24</v>
      </c>
      <c r="J3025" s="364" t="s">
        <v>2298</v>
      </c>
      <c r="K3025" s="364" t="s">
        <v>24</v>
      </c>
      <c r="L3025" s="20"/>
    </row>
    <row r="3026" spans="1:13">
      <c r="D3026" s="18"/>
      <c r="E3026" s="593" t="s">
        <v>99</v>
      </c>
      <c r="F3026" s="594"/>
      <c r="G3026" s="594"/>
      <c r="H3026" s="594"/>
      <c r="I3026" s="594"/>
      <c r="J3026" s="594"/>
      <c r="K3026" s="595"/>
      <c r="L3026" s="20"/>
    </row>
    <row r="3027" spans="1:13">
      <c r="A3027" s="14" t="s">
        <v>31</v>
      </c>
      <c r="D3027" s="18">
        <v>1</v>
      </c>
      <c r="E3027" s="355" t="str">
        <f t="shared" ref="E3027:E3046" si="576">VLOOKUP($A3027,MATMO,2,FALSE)</f>
        <v>-</v>
      </c>
      <c r="F3027" s="356"/>
      <c r="G3027" s="357" t="str">
        <f t="shared" ref="G3027:G3046" si="577">VLOOKUP($A3027,MATMO,3,FALSE)</f>
        <v>-</v>
      </c>
      <c r="H3027" s="358">
        <f t="shared" ref="H3027:H3046" si="578">VLOOKUP($A3027,MATMO,4,FALSE)*$Q$6</f>
        <v>0</v>
      </c>
      <c r="I3027" s="544" t="str">
        <f t="shared" ref="I3027:I3046" si="579">+G3027</f>
        <v>-</v>
      </c>
      <c r="J3027" s="545">
        <f>+H3027*F3027</f>
        <v>0</v>
      </c>
      <c r="K3027" s="539" t="s">
        <v>2299</v>
      </c>
      <c r="L3027" s="20"/>
      <c r="M3027" s="14" t="s">
        <v>2005</v>
      </c>
    </row>
    <row r="3028" spans="1:13">
      <c r="A3028" s="14" t="s">
        <v>31</v>
      </c>
      <c r="D3028" s="18">
        <v>2</v>
      </c>
      <c r="E3028" s="26" t="str">
        <f t="shared" si="576"/>
        <v>-</v>
      </c>
      <c r="F3028" s="311"/>
      <c r="G3028" s="307" t="str">
        <f t="shared" si="577"/>
        <v>-</v>
      </c>
      <c r="H3028" s="351">
        <f t="shared" si="578"/>
        <v>0</v>
      </c>
      <c r="I3028" s="537" t="str">
        <f t="shared" si="579"/>
        <v>-</v>
      </c>
      <c r="J3028" s="538">
        <f t="shared" ref="J3028:J3046" si="580">+H3028*F3028</f>
        <v>0</v>
      </c>
      <c r="K3028" s="539" t="s">
        <v>2299</v>
      </c>
      <c r="L3028" s="20"/>
    </row>
    <row r="3029" spans="1:13">
      <c r="A3029" s="14" t="s">
        <v>31</v>
      </c>
      <c r="D3029" s="18">
        <v>3</v>
      </c>
      <c r="E3029" s="26" t="str">
        <f t="shared" si="576"/>
        <v>-</v>
      </c>
      <c r="F3029" s="311"/>
      <c r="G3029" s="307" t="str">
        <f t="shared" si="577"/>
        <v>-</v>
      </c>
      <c r="H3029" s="351">
        <f t="shared" si="578"/>
        <v>0</v>
      </c>
      <c r="I3029" s="537" t="str">
        <f t="shared" si="579"/>
        <v>-</v>
      </c>
      <c r="J3029" s="538">
        <f t="shared" si="580"/>
        <v>0</v>
      </c>
      <c r="K3029" s="539" t="s">
        <v>2299</v>
      </c>
      <c r="L3029" s="20"/>
    </row>
    <row r="3030" spans="1:13">
      <c r="A3030" s="14" t="s">
        <v>31</v>
      </c>
      <c r="D3030" s="18">
        <v>4</v>
      </c>
      <c r="E3030" s="26" t="str">
        <f t="shared" si="576"/>
        <v>-</v>
      </c>
      <c r="F3030" s="311"/>
      <c r="G3030" s="307" t="str">
        <f t="shared" si="577"/>
        <v>-</v>
      </c>
      <c r="H3030" s="351">
        <f t="shared" si="578"/>
        <v>0</v>
      </c>
      <c r="I3030" s="537" t="str">
        <f t="shared" si="579"/>
        <v>-</v>
      </c>
      <c r="J3030" s="538">
        <f t="shared" si="580"/>
        <v>0</v>
      </c>
      <c r="K3030" s="539" t="s">
        <v>2299</v>
      </c>
      <c r="L3030" s="20"/>
    </row>
    <row r="3031" spans="1:13">
      <c r="A3031" s="14" t="s">
        <v>31</v>
      </c>
      <c r="D3031" s="18">
        <v>5</v>
      </c>
      <c r="E3031" s="26" t="str">
        <f t="shared" si="576"/>
        <v>-</v>
      </c>
      <c r="F3031" s="311"/>
      <c r="G3031" s="307" t="str">
        <f t="shared" si="577"/>
        <v>-</v>
      </c>
      <c r="H3031" s="351">
        <f t="shared" si="578"/>
        <v>0</v>
      </c>
      <c r="I3031" s="537" t="str">
        <f t="shared" si="579"/>
        <v>-</v>
      </c>
      <c r="J3031" s="538">
        <f t="shared" si="580"/>
        <v>0</v>
      </c>
      <c r="K3031" s="539" t="s">
        <v>2299</v>
      </c>
      <c r="L3031" s="20"/>
    </row>
    <row r="3032" spans="1:13">
      <c r="A3032" s="14" t="s">
        <v>31</v>
      </c>
      <c r="D3032" s="18">
        <v>6</v>
      </c>
      <c r="E3032" s="26" t="str">
        <f t="shared" si="576"/>
        <v>-</v>
      </c>
      <c r="F3032" s="311"/>
      <c r="G3032" s="307" t="str">
        <f t="shared" si="577"/>
        <v>-</v>
      </c>
      <c r="H3032" s="351">
        <f t="shared" si="578"/>
        <v>0</v>
      </c>
      <c r="I3032" s="537" t="str">
        <f t="shared" si="579"/>
        <v>-</v>
      </c>
      <c r="J3032" s="538">
        <f t="shared" si="580"/>
        <v>0</v>
      </c>
      <c r="K3032" s="539" t="s">
        <v>2299</v>
      </c>
      <c r="L3032" s="20"/>
    </row>
    <row r="3033" spans="1:13">
      <c r="A3033" s="14" t="s">
        <v>31</v>
      </c>
      <c r="D3033" s="18">
        <v>7</v>
      </c>
      <c r="E3033" s="26" t="str">
        <f t="shared" si="576"/>
        <v>-</v>
      </c>
      <c r="F3033" s="311"/>
      <c r="G3033" s="307" t="str">
        <f t="shared" si="577"/>
        <v>-</v>
      </c>
      <c r="H3033" s="351">
        <f t="shared" si="578"/>
        <v>0</v>
      </c>
      <c r="I3033" s="537" t="str">
        <f t="shared" si="579"/>
        <v>-</v>
      </c>
      <c r="J3033" s="538">
        <f t="shared" si="580"/>
        <v>0</v>
      </c>
      <c r="K3033" s="539" t="s">
        <v>2299</v>
      </c>
      <c r="L3033" s="20"/>
    </row>
    <row r="3034" spans="1:13">
      <c r="A3034" s="14" t="s">
        <v>31</v>
      </c>
      <c r="D3034" s="18">
        <v>8</v>
      </c>
      <c r="E3034" s="26" t="str">
        <f t="shared" si="576"/>
        <v>-</v>
      </c>
      <c r="F3034" s="311"/>
      <c r="G3034" s="307" t="str">
        <f t="shared" si="577"/>
        <v>-</v>
      </c>
      <c r="H3034" s="351">
        <f t="shared" si="578"/>
        <v>0</v>
      </c>
      <c r="I3034" s="537" t="str">
        <f t="shared" si="579"/>
        <v>-</v>
      </c>
      <c r="J3034" s="538">
        <f t="shared" si="580"/>
        <v>0</v>
      </c>
      <c r="K3034" s="539" t="s">
        <v>2299</v>
      </c>
      <c r="L3034" s="20"/>
    </row>
    <row r="3035" spans="1:13">
      <c r="A3035" s="14" t="s">
        <v>31</v>
      </c>
      <c r="D3035" s="18">
        <v>9</v>
      </c>
      <c r="E3035" s="26" t="str">
        <f t="shared" si="576"/>
        <v>-</v>
      </c>
      <c r="F3035" s="311"/>
      <c r="G3035" s="307" t="str">
        <f t="shared" si="577"/>
        <v>-</v>
      </c>
      <c r="H3035" s="351">
        <f t="shared" si="578"/>
        <v>0</v>
      </c>
      <c r="I3035" s="537" t="str">
        <f t="shared" si="579"/>
        <v>-</v>
      </c>
      <c r="J3035" s="538">
        <f t="shared" si="580"/>
        <v>0</v>
      </c>
      <c r="K3035" s="539" t="s">
        <v>2299</v>
      </c>
      <c r="L3035" s="20"/>
    </row>
    <row r="3036" spans="1:13">
      <c r="A3036" s="14" t="s">
        <v>31</v>
      </c>
      <c r="D3036" s="18">
        <v>10</v>
      </c>
      <c r="E3036" s="26" t="str">
        <f t="shared" si="576"/>
        <v>-</v>
      </c>
      <c r="F3036" s="311"/>
      <c r="G3036" s="307" t="str">
        <f t="shared" si="577"/>
        <v>-</v>
      </c>
      <c r="H3036" s="351">
        <f t="shared" si="578"/>
        <v>0</v>
      </c>
      <c r="I3036" s="537" t="str">
        <f t="shared" si="579"/>
        <v>-</v>
      </c>
      <c r="J3036" s="538">
        <f t="shared" si="580"/>
        <v>0</v>
      </c>
      <c r="K3036" s="539" t="s">
        <v>2299</v>
      </c>
      <c r="L3036" s="20"/>
    </row>
    <row r="3037" spans="1:13">
      <c r="A3037" s="14" t="s">
        <v>31</v>
      </c>
      <c r="D3037" s="18">
        <v>11</v>
      </c>
      <c r="E3037" s="26" t="str">
        <f t="shared" si="576"/>
        <v>-</v>
      </c>
      <c r="F3037" s="311"/>
      <c r="G3037" s="307" t="str">
        <f t="shared" si="577"/>
        <v>-</v>
      </c>
      <c r="H3037" s="351">
        <f t="shared" si="578"/>
        <v>0</v>
      </c>
      <c r="I3037" s="537" t="str">
        <f t="shared" si="579"/>
        <v>-</v>
      </c>
      <c r="J3037" s="538">
        <f t="shared" si="580"/>
        <v>0</v>
      </c>
      <c r="K3037" s="539" t="s">
        <v>2299</v>
      </c>
      <c r="L3037" s="20"/>
    </row>
    <row r="3038" spans="1:13">
      <c r="A3038" s="14" t="s">
        <v>31</v>
      </c>
      <c r="D3038" s="18">
        <v>12</v>
      </c>
      <c r="E3038" s="26" t="str">
        <f t="shared" si="576"/>
        <v>-</v>
      </c>
      <c r="F3038" s="311"/>
      <c r="G3038" s="307" t="str">
        <f t="shared" si="577"/>
        <v>-</v>
      </c>
      <c r="H3038" s="352">
        <f t="shared" si="578"/>
        <v>0</v>
      </c>
      <c r="I3038" s="537" t="str">
        <f t="shared" si="579"/>
        <v>-</v>
      </c>
      <c r="J3038" s="538">
        <f t="shared" si="580"/>
        <v>0</v>
      </c>
      <c r="K3038" s="539" t="s">
        <v>2299</v>
      </c>
      <c r="L3038" s="20"/>
    </row>
    <row r="3039" spans="1:13">
      <c r="A3039" s="14" t="s">
        <v>31</v>
      </c>
      <c r="D3039" s="18">
        <v>13</v>
      </c>
      <c r="E3039" s="26" t="str">
        <f t="shared" si="576"/>
        <v>-</v>
      </c>
      <c r="F3039" s="311"/>
      <c r="G3039" s="307" t="str">
        <f t="shared" si="577"/>
        <v>-</v>
      </c>
      <c r="H3039" s="352">
        <f t="shared" si="578"/>
        <v>0</v>
      </c>
      <c r="I3039" s="537" t="str">
        <f t="shared" si="579"/>
        <v>-</v>
      </c>
      <c r="J3039" s="538">
        <f t="shared" si="580"/>
        <v>0</v>
      </c>
      <c r="K3039" s="539" t="s">
        <v>2299</v>
      </c>
      <c r="L3039" s="20"/>
    </row>
    <row r="3040" spans="1:13">
      <c r="A3040" s="14" t="s">
        <v>31</v>
      </c>
      <c r="D3040" s="18">
        <v>14</v>
      </c>
      <c r="E3040" s="26" t="str">
        <f t="shared" si="576"/>
        <v>-</v>
      </c>
      <c r="F3040" s="311"/>
      <c r="G3040" s="307" t="str">
        <f t="shared" si="577"/>
        <v>-</v>
      </c>
      <c r="H3040" s="352">
        <f t="shared" si="578"/>
        <v>0</v>
      </c>
      <c r="I3040" s="537" t="str">
        <f t="shared" si="579"/>
        <v>-</v>
      </c>
      <c r="J3040" s="538">
        <f t="shared" si="580"/>
        <v>0</v>
      </c>
      <c r="K3040" s="539" t="s">
        <v>2299</v>
      </c>
      <c r="L3040" s="20"/>
    </row>
    <row r="3041" spans="1:19">
      <c r="A3041" s="14" t="s">
        <v>31</v>
      </c>
      <c r="D3041" s="18">
        <v>15</v>
      </c>
      <c r="E3041" s="26" t="str">
        <f t="shared" si="576"/>
        <v>-</v>
      </c>
      <c r="F3041" s="311"/>
      <c r="G3041" s="307" t="str">
        <f t="shared" si="577"/>
        <v>-</v>
      </c>
      <c r="H3041" s="352">
        <f t="shared" si="578"/>
        <v>0</v>
      </c>
      <c r="I3041" s="537" t="str">
        <f t="shared" si="579"/>
        <v>-</v>
      </c>
      <c r="J3041" s="538">
        <f t="shared" si="580"/>
        <v>0</v>
      </c>
      <c r="K3041" s="539" t="s">
        <v>2299</v>
      </c>
      <c r="L3041" s="20"/>
    </row>
    <row r="3042" spans="1:19">
      <c r="A3042" s="14" t="s">
        <v>31</v>
      </c>
      <c r="D3042" s="18">
        <v>16</v>
      </c>
      <c r="E3042" s="26" t="str">
        <f t="shared" si="576"/>
        <v>-</v>
      </c>
      <c r="F3042" s="311"/>
      <c r="G3042" s="307" t="str">
        <f t="shared" si="577"/>
        <v>-</v>
      </c>
      <c r="H3042" s="352">
        <f t="shared" si="578"/>
        <v>0</v>
      </c>
      <c r="I3042" s="537" t="str">
        <f t="shared" si="579"/>
        <v>-</v>
      </c>
      <c r="J3042" s="538">
        <f t="shared" si="580"/>
        <v>0</v>
      </c>
      <c r="K3042" s="539" t="s">
        <v>2299</v>
      </c>
      <c r="L3042" s="20"/>
    </row>
    <row r="3043" spans="1:19">
      <c r="A3043" s="14" t="s">
        <v>31</v>
      </c>
      <c r="D3043" s="18">
        <v>17</v>
      </c>
      <c r="E3043" s="26" t="str">
        <f t="shared" si="576"/>
        <v>-</v>
      </c>
      <c r="F3043" s="311"/>
      <c r="G3043" s="307" t="str">
        <f t="shared" si="577"/>
        <v>-</v>
      </c>
      <c r="H3043" s="352">
        <f t="shared" si="578"/>
        <v>0</v>
      </c>
      <c r="I3043" s="537" t="str">
        <f t="shared" si="579"/>
        <v>-</v>
      </c>
      <c r="J3043" s="538">
        <f t="shared" si="580"/>
        <v>0</v>
      </c>
      <c r="K3043" s="539" t="s">
        <v>2299</v>
      </c>
      <c r="L3043" s="20"/>
    </row>
    <row r="3044" spans="1:19">
      <c r="A3044" s="14" t="s">
        <v>31</v>
      </c>
      <c r="D3044" s="18">
        <v>18</v>
      </c>
      <c r="E3044" s="26" t="str">
        <f t="shared" si="576"/>
        <v>-</v>
      </c>
      <c r="F3044" s="311"/>
      <c r="G3044" s="307" t="str">
        <f t="shared" si="577"/>
        <v>-</v>
      </c>
      <c r="H3044" s="352">
        <f t="shared" si="578"/>
        <v>0</v>
      </c>
      <c r="I3044" s="537" t="str">
        <f t="shared" si="579"/>
        <v>-</v>
      </c>
      <c r="J3044" s="538">
        <f t="shared" si="580"/>
        <v>0</v>
      </c>
      <c r="K3044" s="539" t="s">
        <v>2299</v>
      </c>
      <c r="L3044" s="20"/>
    </row>
    <row r="3045" spans="1:19">
      <c r="A3045" s="14" t="s">
        <v>31</v>
      </c>
      <c r="D3045" s="18">
        <v>19</v>
      </c>
      <c r="E3045" s="26" t="str">
        <f t="shared" si="576"/>
        <v>-</v>
      </c>
      <c r="F3045" s="311"/>
      <c r="G3045" s="307" t="str">
        <f t="shared" si="577"/>
        <v>-</v>
      </c>
      <c r="H3045" s="352">
        <f t="shared" si="578"/>
        <v>0</v>
      </c>
      <c r="I3045" s="537" t="str">
        <f t="shared" si="579"/>
        <v>-</v>
      </c>
      <c r="J3045" s="538">
        <f t="shared" si="580"/>
        <v>0</v>
      </c>
      <c r="K3045" s="539" t="s">
        <v>2299</v>
      </c>
      <c r="L3045" s="20"/>
    </row>
    <row r="3046" spans="1:19">
      <c r="A3046" s="14" t="s">
        <v>31</v>
      </c>
      <c r="D3046" s="18">
        <v>20</v>
      </c>
      <c r="E3046" s="26" t="str">
        <f t="shared" si="576"/>
        <v>-</v>
      </c>
      <c r="F3046" s="311"/>
      <c r="G3046" s="307" t="str">
        <f t="shared" si="577"/>
        <v>-</v>
      </c>
      <c r="H3046" s="352">
        <f t="shared" si="578"/>
        <v>0</v>
      </c>
      <c r="I3046" s="537" t="str">
        <f t="shared" si="579"/>
        <v>-</v>
      </c>
      <c r="J3046" s="541">
        <f t="shared" si="580"/>
        <v>0</v>
      </c>
      <c r="K3046" s="539" t="s">
        <v>2299</v>
      </c>
      <c r="L3046" s="20"/>
    </row>
    <row r="3047" spans="1:19">
      <c r="A3047" s="14">
        <f>A3014+1</f>
        <v>65</v>
      </c>
      <c r="B3047" s="14" t="str">
        <f>"MA" &amp; TEXT(A3047,"##000")</f>
        <v>MA065</v>
      </c>
      <c r="D3047" s="18"/>
      <c r="E3047" s="591" t="s">
        <v>2302</v>
      </c>
      <c r="F3047" s="592"/>
      <c r="G3047" s="592"/>
      <c r="H3047" s="592"/>
      <c r="I3047" s="328"/>
      <c r="J3047" s="353">
        <f>SUM(J3027:J3046)</f>
        <v>0</v>
      </c>
      <c r="K3047" s="365" t="str">
        <f>+F3024</f>
        <v>gl</v>
      </c>
      <c r="L3047" s="20"/>
      <c r="O3047" s="27" t="s">
        <v>1525</v>
      </c>
      <c r="P3047" s="110">
        <f>350*2*4*9</f>
        <v>25200</v>
      </c>
    </row>
    <row r="3048" spans="1:19">
      <c r="D3048" s="18"/>
      <c r="E3048" s="593" t="s">
        <v>100</v>
      </c>
      <c r="F3048" s="594"/>
      <c r="G3048" s="594"/>
      <c r="H3048" s="594"/>
      <c r="I3048" s="594"/>
      <c r="J3048" s="595"/>
      <c r="K3048" s="347"/>
      <c r="L3048" s="20"/>
      <c r="O3048" s="27" t="s">
        <v>1524</v>
      </c>
      <c r="P3048" s="110">
        <v>0</v>
      </c>
    </row>
    <row r="3049" spans="1:19">
      <c r="A3049" s="14" t="s">
        <v>84</v>
      </c>
      <c r="D3049" s="18">
        <v>1</v>
      </c>
      <c r="E3049" s="26" t="str">
        <f>VLOOKUP($A3049,MATMO,2,FALSE)</f>
        <v>Oficial</v>
      </c>
      <c r="F3049" s="311">
        <v>400</v>
      </c>
      <c r="G3049" s="307" t="str">
        <f>VLOOKUP($A3049,MATMO,3,FALSE)</f>
        <v>hs</v>
      </c>
      <c r="H3049" s="110">
        <f>VLOOKUP($A3049,MATMO,4,FALSE)*$Q$7</f>
        <v>55.38</v>
      </c>
      <c r="I3049" s="354" t="str">
        <f t="shared" ref="I3049:I3053" si="581">+G3049</f>
        <v>hs</v>
      </c>
      <c r="J3049" s="350">
        <f t="shared" ref="J3049:J3053" si="582">+H3049*F3049</f>
        <v>22152</v>
      </c>
      <c r="K3049" s="360" t="s">
        <v>2299</v>
      </c>
      <c r="L3049" s="20"/>
      <c r="M3049" s="14" t="s">
        <v>2006</v>
      </c>
      <c r="O3049" s="27" t="s">
        <v>1526</v>
      </c>
      <c r="P3049" s="110">
        <v>0</v>
      </c>
    </row>
    <row r="3050" spans="1:19">
      <c r="A3050" s="14" t="s">
        <v>85</v>
      </c>
      <c r="D3050" s="18">
        <v>2</v>
      </c>
      <c r="E3050" s="26" t="str">
        <f>VLOOKUP($A3050,MATMO,2,FALSE)</f>
        <v>Ayudante</v>
      </c>
      <c r="F3050" s="311">
        <v>50</v>
      </c>
      <c r="G3050" s="307" t="str">
        <f>VLOOKUP($A3050,MATMO,3,FALSE)</f>
        <v>hs</v>
      </c>
      <c r="H3050" s="110">
        <f>VLOOKUP($A3050,MATMO,4,FALSE)*$Q$7</f>
        <v>46.87</v>
      </c>
      <c r="I3050" s="354" t="str">
        <f t="shared" si="581"/>
        <v>hs</v>
      </c>
      <c r="J3050" s="350">
        <f t="shared" si="582"/>
        <v>2343.5</v>
      </c>
      <c r="K3050" s="360" t="s">
        <v>2299</v>
      </c>
      <c r="L3050" s="20"/>
      <c r="O3050" s="27" t="s">
        <v>1527</v>
      </c>
      <c r="P3050" s="110">
        <v>0</v>
      </c>
    </row>
    <row r="3051" spans="1:19">
      <c r="A3051" s="14" t="s">
        <v>2311</v>
      </c>
      <c r="D3051" s="18">
        <v>3</v>
      </c>
      <c r="E3051" s="26" t="str">
        <f>VLOOKUP($A3051,MATMO,2,FALSE)</f>
        <v>Cargas Sociales Oficial</v>
      </c>
      <c r="F3051" s="311">
        <f>+F3049</f>
        <v>400</v>
      </c>
      <c r="G3051" s="307" t="str">
        <f>VLOOKUP($A3051,MATMO,3,FALSE)</f>
        <v>hs</v>
      </c>
      <c r="H3051" s="110">
        <f>VLOOKUP($A3051,MATMO,4,FALSE)*$Q$7</f>
        <v>52.742782499999997</v>
      </c>
      <c r="I3051" s="354" t="str">
        <f t="shared" si="581"/>
        <v>hs</v>
      </c>
      <c r="J3051" s="350">
        <f t="shared" si="582"/>
        <v>21097.112999999998</v>
      </c>
      <c r="K3051" s="360" t="s">
        <v>2299</v>
      </c>
      <c r="L3051" s="20"/>
      <c r="O3051" s="27"/>
      <c r="P3051" s="110">
        <v>0</v>
      </c>
    </row>
    <row r="3052" spans="1:19">
      <c r="A3052" s="14" t="s">
        <v>2312</v>
      </c>
      <c r="D3052" s="18">
        <v>4</v>
      </c>
      <c r="E3052" s="26" t="str">
        <f>VLOOKUP($A3052,MATMO,2,FALSE)</f>
        <v>Cargas Sociales Ayudante</v>
      </c>
      <c r="F3052" s="311">
        <f>+F3050</f>
        <v>50</v>
      </c>
      <c r="G3052" s="307" t="str">
        <f>VLOOKUP($A3052,MATMO,3,FALSE)</f>
        <v>hs</v>
      </c>
      <c r="H3052" s="110">
        <f>VLOOKUP($A3052,MATMO,4,FALSE)*$Q$7</f>
        <v>45.108248750000001</v>
      </c>
      <c r="I3052" s="354" t="str">
        <f t="shared" si="581"/>
        <v>hs</v>
      </c>
      <c r="J3052" s="350">
        <f t="shared" si="582"/>
        <v>2255.4124375000001</v>
      </c>
      <c r="K3052" s="360" t="s">
        <v>2299</v>
      </c>
      <c r="L3052" s="20"/>
      <c r="O3052" s="27"/>
      <c r="P3052" s="110">
        <v>0</v>
      </c>
    </row>
    <row r="3053" spans="1:19" ht="16.5" thickBot="1">
      <c r="A3053" s="14" t="s">
        <v>83</v>
      </c>
      <c r="D3053" s="18">
        <v>5</v>
      </c>
      <c r="E3053" s="26" t="str">
        <f>VLOOKUP($A3053,MATMO,2,FALSE)</f>
        <v>-</v>
      </c>
      <c r="F3053" s="311"/>
      <c r="G3053" s="307" t="str">
        <f>VLOOKUP($A3053,MATMO,3,FALSE)</f>
        <v>-</v>
      </c>
      <c r="H3053" s="110">
        <f>VLOOKUP($A3053,MATMO,4,FALSE)*$Q$7</f>
        <v>0</v>
      </c>
      <c r="I3053" s="537" t="str">
        <f t="shared" si="581"/>
        <v>-</v>
      </c>
      <c r="J3053" s="538">
        <f t="shared" si="582"/>
        <v>0</v>
      </c>
      <c r="K3053" s="539" t="s">
        <v>2299</v>
      </c>
      <c r="L3053" s="20"/>
      <c r="O3053" s="27"/>
      <c r="P3053" s="110">
        <v>0</v>
      </c>
      <c r="R3053" s="29" t="s">
        <v>2307</v>
      </c>
    </row>
    <row r="3054" spans="1:19" ht="16.5" thickBot="1">
      <c r="A3054" s="14">
        <f>A3014+1</f>
        <v>65</v>
      </c>
      <c r="B3054" s="14" t="str">
        <f>"MO" &amp; TEXT(A3054,"##000")</f>
        <v>MO065</v>
      </c>
      <c r="D3054" s="18"/>
      <c r="E3054" s="591" t="s">
        <v>2301</v>
      </c>
      <c r="F3054" s="592"/>
      <c r="G3054" s="592"/>
      <c r="H3054" s="592"/>
      <c r="I3054" s="328"/>
      <c r="J3054" s="362">
        <f>SUM(J3049:J3053)</f>
        <v>47848.0254375</v>
      </c>
      <c r="K3054" s="365" t="str">
        <f>+G3049</f>
        <v>hs</v>
      </c>
      <c r="L3054" s="20"/>
      <c r="N3054" s="111">
        <f>+P3054+R3054</f>
        <v>47880</v>
      </c>
      <c r="O3054" s="27"/>
      <c r="P3054" s="27">
        <f>SUM(P3047:P3053)</f>
        <v>25200</v>
      </c>
      <c r="Q3054" s="26">
        <v>0.9</v>
      </c>
      <c r="R3054" s="287">
        <f>+Q3054*P3054</f>
        <v>22680</v>
      </c>
      <c r="S3054" s="288"/>
    </row>
    <row r="3055" spans="1:19">
      <c r="D3055" s="18"/>
      <c r="E3055" s="593" t="s">
        <v>101</v>
      </c>
      <c r="F3055" s="594"/>
      <c r="G3055" s="594"/>
      <c r="H3055" s="594"/>
      <c r="I3055" s="594"/>
      <c r="J3055" s="595"/>
      <c r="K3055" s="347"/>
      <c r="L3055" s="20"/>
      <c r="P3055" s="14" t="s">
        <v>2308</v>
      </c>
    </row>
    <row r="3056" spans="1:19">
      <c r="A3056" s="14" t="s">
        <v>119</v>
      </c>
      <c r="D3056" s="18">
        <v>1</v>
      </c>
      <c r="E3056" s="26" t="str">
        <f>VLOOKUP($A3056,MATMO,2,FALSE)</f>
        <v>Herramientas de Mano</v>
      </c>
      <c r="F3056" s="311">
        <v>1</v>
      </c>
      <c r="G3056" s="307" t="str">
        <f>VLOOKUP($A3056,MATMO,3,FALSE)</f>
        <v>gl</v>
      </c>
      <c r="H3056" s="110">
        <f>+(J3047+J3054)*$Q$5</f>
        <v>1913.9210175000001</v>
      </c>
      <c r="I3056" s="345" t="str">
        <f>+G3056</f>
        <v>gl</v>
      </c>
      <c r="J3056" s="350">
        <f t="shared" ref="J3056:J3060" si="583">+H3056*F3056</f>
        <v>1913.9210175000001</v>
      </c>
      <c r="K3056" s="360" t="s">
        <v>2299</v>
      </c>
      <c r="L3056" s="20"/>
      <c r="M3056" s="14" t="s">
        <v>2004</v>
      </c>
    </row>
    <row r="3057" spans="1:12">
      <c r="A3057" s="14" t="s">
        <v>2361</v>
      </c>
      <c r="D3057" s="18">
        <v>2</v>
      </c>
      <c r="E3057" s="26" t="str">
        <f>VLOOKUP($A3057,MATMO,2,FALSE)</f>
        <v>Retroexcavadora</v>
      </c>
      <c r="F3057" s="311">
        <v>100</v>
      </c>
      <c r="G3057" s="307" t="str">
        <f>VLOOKUP($A3057,MATMO,3,FALSE)</f>
        <v>hs</v>
      </c>
      <c r="H3057" s="110">
        <f>VLOOKUP($A3057,MATMO,4,FALSE)*$Q$6</f>
        <v>450</v>
      </c>
      <c r="I3057" s="345" t="str">
        <f t="shared" ref="I3057:I3060" si="584">+G3057</f>
        <v>hs</v>
      </c>
      <c r="J3057" s="350">
        <f t="shared" si="583"/>
        <v>45000</v>
      </c>
      <c r="K3057" s="360" t="s">
        <v>2299</v>
      </c>
      <c r="L3057" s="20"/>
    </row>
    <row r="3058" spans="1:12">
      <c r="A3058" s="14" t="s">
        <v>2461</v>
      </c>
      <c r="D3058" s="18">
        <v>3</v>
      </c>
      <c r="E3058" s="26" t="str">
        <f>VLOOKUP($A3058,MATMO,2,FALSE)</f>
        <v>Camión Retiro Escombro</v>
      </c>
      <c r="F3058" s="311">
        <v>36</v>
      </c>
      <c r="G3058" s="307" t="str">
        <f>VLOOKUP($A3058,MATMO,3,FALSE)</f>
        <v>un</v>
      </c>
      <c r="H3058" s="110">
        <f>VLOOKUP($A3058,MATMO,4,FALSE)*$Q$6</f>
        <v>400</v>
      </c>
      <c r="I3058" s="345" t="str">
        <f t="shared" si="584"/>
        <v>un</v>
      </c>
      <c r="J3058" s="350">
        <f t="shared" si="583"/>
        <v>14400</v>
      </c>
      <c r="K3058" s="360" t="s">
        <v>2299</v>
      </c>
      <c r="L3058" s="20"/>
    </row>
    <row r="3059" spans="1:12">
      <c r="A3059" s="14" t="s">
        <v>118</v>
      </c>
      <c r="D3059" s="18">
        <v>4</v>
      </c>
      <c r="E3059" s="26" t="str">
        <f>VLOOKUP($A3059,MATMO,2,FALSE)</f>
        <v>-</v>
      </c>
      <c r="F3059" s="311"/>
      <c r="G3059" s="307" t="str">
        <f>VLOOKUP($A3059,MATMO,3,FALSE)</f>
        <v>-</v>
      </c>
      <c r="H3059" s="110">
        <f>VLOOKUP($A3059,MATMO,4,FALSE)*$Q$6</f>
        <v>0</v>
      </c>
      <c r="I3059" s="543" t="str">
        <f t="shared" si="584"/>
        <v>-</v>
      </c>
      <c r="J3059" s="538">
        <f t="shared" si="583"/>
        <v>0</v>
      </c>
      <c r="K3059" s="539" t="s">
        <v>2299</v>
      </c>
      <c r="L3059" s="20"/>
    </row>
    <row r="3060" spans="1:12">
      <c r="A3060" s="14" t="s">
        <v>118</v>
      </c>
      <c r="D3060" s="18">
        <v>5</v>
      </c>
      <c r="E3060" s="26" t="str">
        <f>VLOOKUP($A3060,MATMO,2,FALSE)</f>
        <v>-</v>
      </c>
      <c r="F3060" s="311"/>
      <c r="G3060" s="307" t="str">
        <f>VLOOKUP($A3060,MATMO,3,FALSE)</f>
        <v>-</v>
      </c>
      <c r="H3060" s="110">
        <f>VLOOKUP($A3060,MATMO,4,FALSE)*$Q$6</f>
        <v>0</v>
      </c>
      <c r="I3060" s="543" t="str">
        <f t="shared" si="584"/>
        <v>-</v>
      </c>
      <c r="J3060" s="538">
        <f t="shared" si="583"/>
        <v>0</v>
      </c>
      <c r="K3060" s="539" t="s">
        <v>2299</v>
      </c>
      <c r="L3060" s="20"/>
    </row>
    <row r="3061" spans="1:12">
      <c r="A3061" s="14">
        <f>A3014+1</f>
        <v>65</v>
      </c>
      <c r="B3061" s="14" t="str">
        <f>"E" &amp; TEXT(A3061,"##000")</f>
        <v>E065</v>
      </c>
      <c r="D3061" s="18"/>
      <c r="E3061" s="591" t="s">
        <v>2300</v>
      </c>
      <c r="F3061" s="592"/>
      <c r="G3061" s="592"/>
      <c r="H3061" s="592"/>
      <c r="I3061" s="328"/>
      <c r="J3061" s="362">
        <f>SUM(J3056:J3060)</f>
        <v>61313.921017499997</v>
      </c>
      <c r="K3061" s="365" t="s">
        <v>116</v>
      </c>
      <c r="L3061" s="20"/>
    </row>
    <row r="3062" spans="1:12">
      <c r="D3062" s="18"/>
      <c r="E3062" s="596"/>
      <c r="F3062" s="597"/>
      <c r="G3062" s="597"/>
      <c r="H3062" s="597"/>
      <c r="I3062" s="597"/>
      <c r="J3062" s="598"/>
      <c r="K3062" s="348"/>
      <c r="L3062" s="20"/>
    </row>
    <row r="3063" spans="1:12">
      <c r="D3063" s="18"/>
      <c r="E3063" s="591" t="s">
        <v>2306</v>
      </c>
      <c r="F3063" s="592"/>
      <c r="G3063" s="592"/>
      <c r="H3063" s="592"/>
      <c r="I3063" s="328"/>
      <c r="J3063" s="308">
        <f>+J3061+J3054+J3047</f>
        <v>109161.946455</v>
      </c>
      <c r="K3063" s="365" t="str">
        <f>+F3024</f>
        <v>gl</v>
      </c>
      <c r="L3063" s="20"/>
    </row>
    <row r="3064" spans="1:12">
      <c r="D3064" s="18"/>
      <c r="E3064" s="591" t="s">
        <v>2305</v>
      </c>
      <c r="F3064" s="592"/>
      <c r="G3064" s="592"/>
      <c r="H3064" s="592"/>
      <c r="I3064" s="406">
        <f>+$Q$9</f>
        <v>1.6902999999999999</v>
      </c>
      <c r="J3064" s="308">
        <f>+$Q$9*J3063</f>
        <v>184516.4380928865</v>
      </c>
      <c r="K3064" s="365" t="str">
        <f>+F3024</f>
        <v>gl</v>
      </c>
      <c r="L3064" s="20"/>
    </row>
    <row r="3065" spans="1:12">
      <c r="A3065" s="14">
        <f>A3018+1</f>
        <v>65</v>
      </c>
      <c r="B3065" s="14" t="str">
        <f>"TR" &amp; TEXT(A3065,"##000")</f>
        <v>TR065</v>
      </c>
      <c r="C3065" s="14">
        <f>+C3018+1</f>
        <v>65</v>
      </c>
      <c r="D3065" s="18"/>
      <c r="E3065" s="591" t="s">
        <v>2304</v>
      </c>
      <c r="F3065" s="592"/>
      <c r="G3065" s="592"/>
      <c r="H3065" s="592"/>
      <c r="I3065" s="328"/>
      <c r="J3065" s="308">
        <f>+J3064</f>
        <v>184516.4380928865</v>
      </c>
      <c r="K3065" s="365" t="str">
        <f>+F3024</f>
        <v>gl</v>
      </c>
      <c r="L3065" s="20"/>
    </row>
    <row r="3066" spans="1:12" ht="16.5" thickBot="1">
      <c r="D3066" s="21"/>
      <c r="E3066" s="30"/>
      <c r="F3066" s="30"/>
      <c r="G3066" s="30"/>
      <c r="H3066" s="30"/>
      <c r="I3066" s="30"/>
      <c r="J3066" s="30"/>
      <c r="K3066" s="349"/>
      <c r="L3066" s="22"/>
    </row>
    <row r="3067" spans="1:12" ht="16.5" thickTop="1">
      <c r="D3067" s="15"/>
      <c r="E3067" s="16"/>
      <c r="F3067" s="16"/>
      <c r="G3067" s="16"/>
      <c r="H3067" s="16"/>
      <c r="I3067" s="16"/>
      <c r="J3067" s="16"/>
      <c r="K3067" s="16"/>
      <c r="L3067" s="17"/>
    </row>
    <row r="3068" spans="1:12">
      <c r="A3068" s="14" t="s">
        <v>2024</v>
      </c>
      <c r="D3068" s="18"/>
      <c r="E3068" s="23" t="s">
        <v>95</v>
      </c>
      <c r="F3068" s="364" t="str">
        <f>VLOOKUP($A3068,DATRUB,3,FALSE)</f>
        <v>RUBRO XX:</v>
      </c>
      <c r="G3068" s="599" t="str">
        <f>VLOOKUP($A3068,DATRUB,4,FALSE)</f>
        <v xml:space="preserve"> VARIOS</v>
      </c>
      <c r="H3068" s="599"/>
      <c r="I3068" s="599"/>
      <c r="J3068" s="599"/>
      <c r="K3068" s="599"/>
      <c r="L3068" s="20"/>
    </row>
    <row r="3069" spans="1:12" ht="35.1" customHeight="1">
      <c r="A3069" s="14" t="s">
        <v>2026</v>
      </c>
      <c r="D3069" s="18"/>
      <c r="E3069" s="23" t="s">
        <v>96</v>
      </c>
      <c r="F3069" s="399">
        <f>VLOOKUP($A3069,DATRUB,3,FALSE)</f>
        <v>20.2</v>
      </c>
      <c r="G3069" s="599" t="str">
        <f>VLOOKUP($A3069,DATRUB,4,FALSE)</f>
        <v>Planos conforme a obra aprobados  / Manual de uso y mantenimiento</v>
      </c>
      <c r="H3069" s="599"/>
      <c r="I3069" s="599"/>
      <c r="J3069" s="599"/>
      <c r="K3069" s="599"/>
      <c r="L3069" s="20"/>
    </row>
    <row r="3070" spans="1:12" ht="35.1" customHeight="1">
      <c r="A3070" s="14" t="s">
        <v>2026</v>
      </c>
      <c r="D3070" s="18"/>
      <c r="E3070" s="23" t="s">
        <v>97</v>
      </c>
      <c r="F3070" s="399">
        <f>VLOOKUP($A3070,DATRUB,3,FALSE)</f>
        <v>20.2</v>
      </c>
      <c r="G3070" s="599" t="str">
        <f>VLOOKUP($A3070,DATRUB,4,FALSE)</f>
        <v>Planos conforme a obra aprobados  / Manual de uso y mantenimiento</v>
      </c>
      <c r="H3070" s="599"/>
      <c r="I3070" s="599"/>
      <c r="J3070" s="599"/>
      <c r="K3070" s="599"/>
      <c r="L3070" s="20"/>
    </row>
    <row r="3071" spans="1:12">
      <c r="D3071" s="18"/>
      <c r="E3071" s="23" t="s">
        <v>98</v>
      </c>
      <c r="F3071" s="364" t="str">
        <f>VLOOKUP($A3070,DATRUB,5,FALSE)</f>
        <v>gl</v>
      </c>
      <c r="G3071" s="600"/>
      <c r="H3071" s="600"/>
      <c r="I3071" s="600"/>
      <c r="J3071" s="600"/>
      <c r="K3071" s="600"/>
      <c r="L3071" s="20"/>
    </row>
    <row r="3072" spans="1:12">
      <c r="D3072" s="18"/>
      <c r="E3072" s="364" t="s">
        <v>1158</v>
      </c>
      <c r="F3072" s="363" t="s">
        <v>1250</v>
      </c>
      <c r="G3072" s="364" t="s">
        <v>24</v>
      </c>
      <c r="H3072" s="364" t="s">
        <v>25</v>
      </c>
      <c r="I3072" s="364" t="s">
        <v>24</v>
      </c>
      <c r="J3072" s="364" t="s">
        <v>2298</v>
      </c>
      <c r="K3072" s="364" t="s">
        <v>24</v>
      </c>
      <c r="L3072" s="20"/>
    </row>
    <row r="3073" spans="1:13">
      <c r="D3073" s="18"/>
      <c r="E3073" s="593" t="s">
        <v>99</v>
      </c>
      <c r="F3073" s="594"/>
      <c r="G3073" s="594"/>
      <c r="H3073" s="594"/>
      <c r="I3073" s="594"/>
      <c r="J3073" s="594"/>
      <c r="K3073" s="595"/>
      <c r="L3073" s="20"/>
    </row>
    <row r="3074" spans="1:13">
      <c r="A3074" s="14" t="s">
        <v>2457</v>
      </c>
      <c r="D3074" s="18">
        <v>1</v>
      </c>
      <c r="E3074" s="355" t="str">
        <f t="shared" ref="E3074:E3093" si="585">VLOOKUP($A3074,MATMO,2,FALSE)</f>
        <v>Ploteos</v>
      </c>
      <c r="F3074" s="356">
        <v>3</v>
      </c>
      <c r="G3074" s="357" t="str">
        <f t="shared" ref="G3074:G3093" si="586">VLOOKUP($A3074,MATMO,3,FALSE)</f>
        <v>gl</v>
      </c>
      <c r="H3074" s="358">
        <f t="shared" ref="H3074:H3093" si="587">VLOOKUP($A3074,MATMO,4,FALSE)*$Q$6</f>
        <v>2500</v>
      </c>
      <c r="I3074" s="359" t="str">
        <f t="shared" ref="I3074:I3093" si="588">+G3074</f>
        <v>gl</v>
      </c>
      <c r="J3074" s="361">
        <f>+H3074*F3074</f>
        <v>7500</v>
      </c>
      <c r="K3074" s="360" t="s">
        <v>2299</v>
      </c>
      <c r="L3074" s="20"/>
      <c r="M3074" s="14" t="s">
        <v>2005</v>
      </c>
    </row>
    <row r="3075" spans="1:13">
      <c r="A3075" s="14" t="s">
        <v>2451</v>
      </c>
      <c r="D3075" s="18">
        <v>2</v>
      </c>
      <c r="E3075" s="26" t="str">
        <f t="shared" si="585"/>
        <v>Accesorios</v>
      </c>
      <c r="F3075" s="311">
        <v>10</v>
      </c>
      <c r="G3075" s="307" t="str">
        <f t="shared" si="586"/>
        <v>gl</v>
      </c>
      <c r="H3075" s="351">
        <f t="shared" si="587"/>
        <v>500</v>
      </c>
      <c r="I3075" s="354" t="str">
        <f t="shared" si="588"/>
        <v>gl</v>
      </c>
      <c r="J3075" s="350">
        <f t="shared" ref="J3075:J3093" si="589">+H3075*F3075</f>
        <v>5000</v>
      </c>
      <c r="K3075" s="360" t="s">
        <v>2299</v>
      </c>
      <c r="L3075" s="20"/>
    </row>
    <row r="3076" spans="1:13">
      <c r="A3076" s="14" t="s">
        <v>31</v>
      </c>
      <c r="D3076" s="18">
        <v>3</v>
      </c>
      <c r="E3076" s="26" t="str">
        <f t="shared" si="585"/>
        <v>-</v>
      </c>
      <c r="F3076" s="311"/>
      <c r="G3076" s="307" t="str">
        <f t="shared" si="586"/>
        <v>-</v>
      </c>
      <c r="H3076" s="351">
        <f t="shared" si="587"/>
        <v>0</v>
      </c>
      <c r="I3076" s="537" t="str">
        <f t="shared" si="588"/>
        <v>-</v>
      </c>
      <c r="J3076" s="538">
        <f t="shared" si="589"/>
        <v>0</v>
      </c>
      <c r="K3076" s="539" t="s">
        <v>2299</v>
      </c>
      <c r="L3076" s="20"/>
    </row>
    <row r="3077" spans="1:13">
      <c r="A3077" s="14" t="s">
        <v>31</v>
      </c>
      <c r="D3077" s="18">
        <v>4</v>
      </c>
      <c r="E3077" s="26" t="str">
        <f t="shared" si="585"/>
        <v>-</v>
      </c>
      <c r="F3077" s="311"/>
      <c r="G3077" s="307" t="str">
        <f t="shared" si="586"/>
        <v>-</v>
      </c>
      <c r="H3077" s="351">
        <f t="shared" si="587"/>
        <v>0</v>
      </c>
      <c r="I3077" s="537" t="str">
        <f t="shared" si="588"/>
        <v>-</v>
      </c>
      <c r="J3077" s="538">
        <f t="shared" si="589"/>
        <v>0</v>
      </c>
      <c r="K3077" s="539" t="s">
        <v>2299</v>
      </c>
      <c r="L3077" s="20"/>
    </row>
    <row r="3078" spans="1:13">
      <c r="A3078" s="14" t="s">
        <v>31</v>
      </c>
      <c r="D3078" s="18">
        <v>5</v>
      </c>
      <c r="E3078" s="26" t="str">
        <f t="shared" si="585"/>
        <v>-</v>
      </c>
      <c r="F3078" s="311"/>
      <c r="G3078" s="307" t="str">
        <f t="shared" si="586"/>
        <v>-</v>
      </c>
      <c r="H3078" s="351">
        <f t="shared" si="587"/>
        <v>0</v>
      </c>
      <c r="I3078" s="537" t="str">
        <f t="shared" si="588"/>
        <v>-</v>
      </c>
      <c r="J3078" s="538">
        <f t="shared" si="589"/>
        <v>0</v>
      </c>
      <c r="K3078" s="539" t="s">
        <v>2299</v>
      </c>
      <c r="L3078" s="20"/>
    </row>
    <row r="3079" spans="1:13">
      <c r="A3079" s="14" t="s">
        <v>31</v>
      </c>
      <c r="D3079" s="18">
        <v>6</v>
      </c>
      <c r="E3079" s="26" t="str">
        <f t="shared" si="585"/>
        <v>-</v>
      </c>
      <c r="F3079" s="311"/>
      <c r="G3079" s="307" t="str">
        <f t="shared" si="586"/>
        <v>-</v>
      </c>
      <c r="H3079" s="351">
        <f t="shared" si="587"/>
        <v>0</v>
      </c>
      <c r="I3079" s="537" t="str">
        <f t="shared" si="588"/>
        <v>-</v>
      </c>
      <c r="J3079" s="538">
        <f t="shared" si="589"/>
        <v>0</v>
      </c>
      <c r="K3079" s="539" t="s">
        <v>2299</v>
      </c>
      <c r="L3079" s="20"/>
    </row>
    <row r="3080" spans="1:13">
      <c r="A3080" s="14" t="s">
        <v>31</v>
      </c>
      <c r="D3080" s="18">
        <v>7</v>
      </c>
      <c r="E3080" s="26" t="str">
        <f t="shared" si="585"/>
        <v>-</v>
      </c>
      <c r="F3080" s="311"/>
      <c r="G3080" s="307" t="str">
        <f t="shared" si="586"/>
        <v>-</v>
      </c>
      <c r="H3080" s="351">
        <f t="shared" si="587"/>
        <v>0</v>
      </c>
      <c r="I3080" s="537" t="str">
        <f t="shared" si="588"/>
        <v>-</v>
      </c>
      <c r="J3080" s="538">
        <f t="shared" si="589"/>
        <v>0</v>
      </c>
      <c r="K3080" s="539" t="s">
        <v>2299</v>
      </c>
      <c r="L3080" s="20"/>
    </row>
    <row r="3081" spans="1:13">
      <c r="A3081" s="14" t="s">
        <v>31</v>
      </c>
      <c r="D3081" s="18">
        <v>8</v>
      </c>
      <c r="E3081" s="26" t="str">
        <f t="shared" si="585"/>
        <v>-</v>
      </c>
      <c r="F3081" s="311"/>
      <c r="G3081" s="307" t="str">
        <f t="shared" si="586"/>
        <v>-</v>
      </c>
      <c r="H3081" s="351">
        <f t="shared" si="587"/>
        <v>0</v>
      </c>
      <c r="I3081" s="537" t="str">
        <f t="shared" si="588"/>
        <v>-</v>
      </c>
      <c r="J3081" s="538">
        <f t="shared" si="589"/>
        <v>0</v>
      </c>
      <c r="K3081" s="539" t="s">
        <v>2299</v>
      </c>
      <c r="L3081" s="20"/>
    </row>
    <row r="3082" spans="1:13">
      <c r="A3082" s="14" t="s">
        <v>31</v>
      </c>
      <c r="D3082" s="18">
        <v>9</v>
      </c>
      <c r="E3082" s="26" t="str">
        <f t="shared" si="585"/>
        <v>-</v>
      </c>
      <c r="F3082" s="311"/>
      <c r="G3082" s="307" t="str">
        <f t="shared" si="586"/>
        <v>-</v>
      </c>
      <c r="H3082" s="351">
        <f t="shared" si="587"/>
        <v>0</v>
      </c>
      <c r="I3082" s="537" t="str">
        <f t="shared" si="588"/>
        <v>-</v>
      </c>
      <c r="J3082" s="538">
        <f t="shared" si="589"/>
        <v>0</v>
      </c>
      <c r="K3082" s="539" t="s">
        <v>2299</v>
      </c>
      <c r="L3082" s="20"/>
    </row>
    <row r="3083" spans="1:13">
      <c r="A3083" s="14" t="s">
        <v>31</v>
      </c>
      <c r="D3083" s="18">
        <v>10</v>
      </c>
      <c r="E3083" s="26" t="str">
        <f t="shared" si="585"/>
        <v>-</v>
      </c>
      <c r="F3083" s="311"/>
      <c r="G3083" s="307" t="str">
        <f t="shared" si="586"/>
        <v>-</v>
      </c>
      <c r="H3083" s="351">
        <f t="shared" si="587"/>
        <v>0</v>
      </c>
      <c r="I3083" s="537" t="str">
        <f t="shared" si="588"/>
        <v>-</v>
      </c>
      <c r="J3083" s="538">
        <f t="shared" si="589"/>
        <v>0</v>
      </c>
      <c r="K3083" s="539" t="s">
        <v>2299</v>
      </c>
      <c r="L3083" s="20"/>
    </row>
    <row r="3084" spans="1:13">
      <c r="A3084" s="14" t="s">
        <v>31</v>
      </c>
      <c r="D3084" s="18">
        <v>11</v>
      </c>
      <c r="E3084" s="26" t="str">
        <f t="shared" si="585"/>
        <v>-</v>
      </c>
      <c r="F3084" s="311"/>
      <c r="G3084" s="307" t="str">
        <f t="shared" si="586"/>
        <v>-</v>
      </c>
      <c r="H3084" s="351">
        <f t="shared" si="587"/>
        <v>0</v>
      </c>
      <c r="I3084" s="537" t="str">
        <f t="shared" si="588"/>
        <v>-</v>
      </c>
      <c r="J3084" s="538">
        <f t="shared" si="589"/>
        <v>0</v>
      </c>
      <c r="K3084" s="539" t="s">
        <v>2299</v>
      </c>
      <c r="L3084" s="20"/>
    </row>
    <row r="3085" spans="1:13">
      <c r="A3085" s="14" t="s">
        <v>31</v>
      </c>
      <c r="D3085" s="18">
        <v>12</v>
      </c>
      <c r="E3085" s="26" t="str">
        <f t="shared" si="585"/>
        <v>-</v>
      </c>
      <c r="F3085" s="311"/>
      <c r="G3085" s="307" t="str">
        <f t="shared" si="586"/>
        <v>-</v>
      </c>
      <c r="H3085" s="352">
        <f t="shared" si="587"/>
        <v>0</v>
      </c>
      <c r="I3085" s="537" t="str">
        <f t="shared" si="588"/>
        <v>-</v>
      </c>
      <c r="J3085" s="538">
        <f t="shared" si="589"/>
        <v>0</v>
      </c>
      <c r="K3085" s="539" t="s">
        <v>2299</v>
      </c>
      <c r="L3085" s="20"/>
    </row>
    <row r="3086" spans="1:13">
      <c r="A3086" s="14" t="s">
        <v>31</v>
      </c>
      <c r="D3086" s="18">
        <v>13</v>
      </c>
      <c r="E3086" s="26" t="str">
        <f t="shared" si="585"/>
        <v>-</v>
      </c>
      <c r="F3086" s="311"/>
      <c r="G3086" s="307" t="str">
        <f t="shared" si="586"/>
        <v>-</v>
      </c>
      <c r="H3086" s="352">
        <f t="shared" si="587"/>
        <v>0</v>
      </c>
      <c r="I3086" s="537" t="str">
        <f t="shared" si="588"/>
        <v>-</v>
      </c>
      <c r="J3086" s="538">
        <f t="shared" si="589"/>
        <v>0</v>
      </c>
      <c r="K3086" s="539" t="s">
        <v>2299</v>
      </c>
      <c r="L3086" s="20"/>
    </row>
    <row r="3087" spans="1:13">
      <c r="A3087" s="14" t="s">
        <v>31</v>
      </c>
      <c r="D3087" s="18">
        <v>14</v>
      </c>
      <c r="E3087" s="26" t="str">
        <f t="shared" si="585"/>
        <v>-</v>
      </c>
      <c r="F3087" s="311"/>
      <c r="G3087" s="307" t="str">
        <f t="shared" si="586"/>
        <v>-</v>
      </c>
      <c r="H3087" s="352">
        <f t="shared" si="587"/>
        <v>0</v>
      </c>
      <c r="I3087" s="537" t="str">
        <f t="shared" si="588"/>
        <v>-</v>
      </c>
      <c r="J3087" s="538">
        <f t="shared" si="589"/>
        <v>0</v>
      </c>
      <c r="K3087" s="539" t="s">
        <v>2299</v>
      </c>
      <c r="L3087" s="20"/>
    </row>
    <row r="3088" spans="1:13">
      <c r="A3088" s="14" t="s">
        <v>31</v>
      </c>
      <c r="D3088" s="18">
        <v>15</v>
      </c>
      <c r="E3088" s="26" t="str">
        <f t="shared" si="585"/>
        <v>-</v>
      </c>
      <c r="F3088" s="311"/>
      <c r="G3088" s="307" t="str">
        <f t="shared" si="586"/>
        <v>-</v>
      </c>
      <c r="H3088" s="352">
        <f t="shared" si="587"/>
        <v>0</v>
      </c>
      <c r="I3088" s="537" t="str">
        <f t="shared" si="588"/>
        <v>-</v>
      </c>
      <c r="J3088" s="538">
        <f t="shared" si="589"/>
        <v>0</v>
      </c>
      <c r="K3088" s="539" t="s">
        <v>2299</v>
      </c>
      <c r="L3088" s="20"/>
    </row>
    <row r="3089" spans="1:19">
      <c r="A3089" s="14" t="s">
        <v>31</v>
      </c>
      <c r="D3089" s="18">
        <v>16</v>
      </c>
      <c r="E3089" s="26" t="str">
        <f t="shared" si="585"/>
        <v>-</v>
      </c>
      <c r="F3089" s="311"/>
      <c r="G3089" s="307" t="str">
        <f t="shared" si="586"/>
        <v>-</v>
      </c>
      <c r="H3089" s="352">
        <f t="shared" si="587"/>
        <v>0</v>
      </c>
      <c r="I3089" s="537" t="str">
        <f t="shared" si="588"/>
        <v>-</v>
      </c>
      <c r="J3089" s="538">
        <f t="shared" si="589"/>
        <v>0</v>
      </c>
      <c r="K3089" s="539" t="s">
        <v>2299</v>
      </c>
      <c r="L3089" s="20"/>
    </row>
    <row r="3090" spans="1:19">
      <c r="A3090" s="14" t="s">
        <v>31</v>
      </c>
      <c r="D3090" s="18">
        <v>17</v>
      </c>
      <c r="E3090" s="26" t="str">
        <f t="shared" si="585"/>
        <v>-</v>
      </c>
      <c r="F3090" s="311"/>
      <c r="G3090" s="307" t="str">
        <f t="shared" si="586"/>
        <v>-</v>
      </c>
      <c r="H3090" s="352">
        <f t="shared" si="587"/>
        <v>0</v>
      </c>
      <c r="I3090" s="537" t="str">
        <f t="shared" si="588"/>
        <v>-</v>
      </c>
      <c r="J3090" s="538">
        <f t="shared" si="589"/>
        <v>0</v>
      </c>
      <c r="K3090" s="539" t="s">
        <v>2299</v>
      </c>
      <c r="L3090" s="20"/>
    </row>
    <row r="3091" spans="1:19">
      <c r="A3091" s="14" t="s">
        <v>31</v>
      </c>
      <c r="D3091" s="18">
        <v>18</v>
      </c>
      <c r="E3091" s="26" t="str">
        <f t="shared" si="585"/>
        <v>-</v>
      </c>
      <c r="F3091" s="311"/>
      <c r="G3091" s="307" t="str">
        <f t="shared" si="586"/>
        <v>-</v>
      </c>
      <c r="H3091" s="352">
        <f t="shared" si="587"/>
        <v>0</v>
      </c>
      <c r="I3091" s="537" t="str">
        <f t="shared" si="588"/>
        <v>-</v>
      </c>
      <c r="J3091" s="538">
        <f t="shared" si="589"/>
        <v>0</v>
      </c>
      <c r="K3091" s="539" t="s">
        <v>2299</v>
      </c>
      <c r="L3091" s="20"/>
    </row>
    <row r="3092" spans="1:19">
      <c r="A3092" s="14" t="s">
        <v>31</v>
      </c>
      <c r="D3092" s="18">
        <v>19</v>
      </c>
      <c r="E3092" s="26" t="str">
        <f t="shared" si="585"/>
        <v>-</v>
      </c>
      <c r="F3092" s="311"/>
      <c r="G3092" s="307" t="str">
        <f t="shared" si="586"/>
        <v>-</v>
      </c>
      <c r="H3092" s="352">
        <f t="shared" si="587"/>
        <v>0</v>
      </c>
      <c r="I3092" s="537" t="str">
        <f t="shared" si="588"/>
        <v>-</v>
      </c>
      <c r="J3092" s="538">
        <f t="shared" si="589"/>
        <v>0</v>
      </c>
      <c r="K3092" s="539" t="s">
        <v>2299</v>
      </c>
      <c r="L3092" s="20"/>
    </row>
    <row r="3093" spans="1:19">
      <c r="A3093" s="14" t="s">
        <v>31</v>
      </c>
      <c r="D3093" s="18">
        <v>20</v>
      </c>
      <c r="E3093" s="26" t="str">
        <f t="shared" si="585"/>
        <v>-</v>
      </c>
      <c r="F3093" s="311"/>
      <c r="G3093" s="307" t="str">
        <f t="shared" si="586"/>
        <v>-</v>
      </c>
      <c r="H3093" s="352">
        <f t="shared" si="587"/>
        <v>0</v>
      </c>
      <c r="I3093" s="537" t="str">
        <f t="shared" si="588"/>
        <v>-</v>
      </c>
      <c r="J3093" s="541">
        <f t="shared" si="589"/>
        <v>0</v>
      </c>
      <c r="K3093" s="539" t="s">
        <v>2299</v>
      </c>
      <c r="L3093" s="20"/>
    </row>
    <row r="3094" spans="1:19">
      <c r="A3094" s="14">
        <f>A3061+1</f>
        <v>66</v>
      </c>
      <c r="B3094" s="14" t="str">
        <f>"MA" &amp; TEXT(A3094,"##000")</f>
        <v>MA066</v>
      </c>
      <c r="D3094" s="18"/>
      <c r="E3094" s="591" t="s">
        <v>2302</v>
      </c>
      <c r="F3094" s="592"/>
      <c r="G3094" s="592"/>
      <c r="H3094" s="592"/>
      <c r="I3094" s="328"/>
      <c r="J3094" s="353">
        <f>SUM(J3074:J3093)</f>
        <v>12500</v>
      </c>
      <c r="K3094" s="365" t="str">
        <f>+F3071</f>
        <v>gl</v>
      </c>
      <c r="L3094" s="20"/>
      <c r="O3094" s="27" t="s">
        <v>1525</v>
      </c>
      <c r="P3094" s="110">
        <v>10</v>
      </c>
    </row>
    <row r="3095" spans="1:19">
      <c r="D3095" s="18"/>
      <c r="E3095" s="593" t="s">
        <v>100</v>
      </c>
      <c r="F3095" s="594"/>
      <c r="G3095" s="594"/>
      <c r="H3095" s="594"/>
      <c r="I3095" s="594"/>
      <c r="J3095" s="595"/>
      <c r="K3095" s="347"/>
      <c r="L3095" s="20"/>
      <c r="O3095" s="27" t="s">
        <v>1524</v>
      </c>
      <c r="P3095" s="110">
        <v>0</v>
      </c>
    </row>
    <row r="3096" spans="1:19">
      <c r="A3096" s="14" t="s">
        <v>84</v>
      </c>
      <c r="D3096" s="18">
        <v>1</v>
      </c>
      <c r="E3096" s="26" t="str">
        <f>VLOOKUP($A3096,MATMO,2,FALSE)</f>
        <v>Oficial</v>
      </c>
      <c r="F3096" s="311">
        <v>0.1</v>
      </c>
      <c r="G3096" s="307" t="str">
        <f>VLOOKUP($A3096,MATMO,3,FALSE)</f>
        <v>hs</v>
      </c>
      <c r="H3096" s="110">
        <f>VLOOKUP($A3096,MATMO,4,FALSE)*$Q$7</f>
        <v>55.38</v>
      </c>
      <c r="I3096" s="354" t="str">
        <f t="shared" ref="I3096:I3100" si="590">+G3096</f>
        <v>hs</v>
      </c>
      <c r="J3096" s="350">
        <f t="shared" ref="J3096:J3100" si="591">+H3096*F3096</f>
        <v>5.5380000000000003</v>
      </c>
      <c r="K3096" s="360" t="s">
        <v>2299</v>
      </c>
      <c r="L3096" s="20"/>
      <c r="M3096" s="14" t="s">
        <v>2006</v>
      </c>
      <c r="O3096" s="27" t="s">
        <v>1526</v>
      </c>
      <c r="P3096" s="110">
        <v>0</v>
      </c>
    </row>
    <row r="3097" spans="1:19">
      <c r="A3097" s="14" t="s">
        <v>85</v>
      </c>
      <c r="D3097" s="18">
        <v>2</v>
      </c>
      <c r="E3097" s="26" t="str">
        <f>VLOOKUP($A3097,MATMO,2,FALSE)</f>
        <v>Ayudante</v>
      </c>
      <c r="F3097" s="311">
        <v>0.05</v>
      </c>
      <c r="G3097" s="307" t="str">
        <f>VLOOKUP($A3097,MATMO,3,FALSE)</f>
        <v>hs</v>
      </c>
      <c r="H3097" s="110">
        <f>VLOOKUP($A3097,MATMO,4,FALSE)*$Q$7</f>
        <v>46.87</v>
      </c>
      <c r="I3097" s="354" t="str">
        <f t="shared" si="590"/>
        <v>hs</v>
      </c>
      <c r="J3097" s="350">
        <f t="shared" si="591"/>
        <v>2.3435000000000001</v>
      </c>
      <c r="K3097" s="360" t="s">
        <v>2299</v>
      </c>
      <c r="L3097" s="20"/>
      <c r="O3097" s="27" t="s">
        <v>1527</v>
      </c>
      <c r="P3097" s="110">
        <v>0</v>
      </c>
    </row>
    <row r="3098" spans="1:19">
      <c r="A3098" s="14" t="s">
        <v>2311</v>
      </c>
      <c r="D3098" s="18">
        <v>3</v>
      </c>
      <c r="E3098" s="26" t="str">
        <f>VLOOKUP($A3098,MATMO,2,FALSE)</f>
        <v>Cargas Sociales Oficial</v>
      </c>
      <c r="F3098" s="311">
        <f>+F3096</f>
        <v>0.1</v>
      </c>
      <c r="G3098" s="307" t="str">
        <f>VLOOKUP($A3098,MATMO,3,FALSE)</f>
        <v>hs</v>
      </c>
      <c r="H3098" s="110">
        <f>VLOOKUP($A3098,MATMO,4,FALSE)*$Q$7</f>
        <v>52.742782499999997</v>
      </c>
      <c r="I3098" s="354" t="str">
        <f t="shared" si="590"/>
        <v>hs</v>
      </c>
      <c r="J3098" s="350">
        <f t="shared" si="591"/>
        <v>5.2742782500000001</v>
      </c>
      <c r="K3098" s="360" t="s">
        <v>2299</v>
      </c>
      <c r="L3098" s="20"/>
      <c r="O3098" s="27"/>
      <c r="P3098" s="110">
        <v>0</v>
      </c>
    </row>
    <row r="3099" spans="1:19">
      <c r="A3099" s="14" t="s">
        <v>2312</v>
      </c>
      <c r="D3099" s="18">
        <v>4</v>
      </c>
      <c r="E3099" s="26" t="str">
        <f>VLOOKUP($A3099,MATMO,2,FALSE)</f>
        <v>Cargas Sociales Ayudante</v>
      </c>
      <c r="F3099" s="311">
        <f>+F3097</f>
        <v>0.05</v>
      </c>
      <c r="G3099" s="307" t="str">
        <f>VLOOKUP($A3099,MATMO,3,FALSE)</f>
        <v>hs</v>
      </c>
      <c r="H3099" s="110">
        <f>VLOOKUP($A3099,MATMO,4,FALSE)*$Q$7</f>
        <v>45.108248750000001</v>
      </c>
      <c r="I3099" s="354" t="str">
        <f t="shared" si="590"/>
        <v>hs</v>
      </c>
      <c r="J3099" s="350">
        <f t="shared" si="591"/>
        <v>2.2554124375</v>
      </c>
      <c r="K3099" s="360" t="s">
        <v>2299</v>
      </c>
      <c r="L3099" s="20"/>
      <c r="O3099" s="27"/>
      <c r="P3099" s="110">
        <v>0</v>
      </c>
    </row>
    <row r="3100" spans="1:19" ht="16.5" thickBot="1">
      <c r="A3100" s="14" t="s">
        <v>83</v>
      </c>
      <c r="D3100" s="18">
        <v>5</v>
      </c>
      <c r="E3100" s="26" t="str">
        <f>VLOOKUP($A3100,MATMO,2,FALSE)</f>
        <v>-</v>
      </c>
      <c r="F3100" s="311"/>
      <c r="G3100" s="307" t="str">
        <f>VLOOKUP($A3100,MATMO,3,FALSE)</f>
        <v>-</v>
      </c>
      <c r="H3100" s="110">
        <f>VLOOKUP($A3100,MATMO,4,FALSE)*$Q$7</f>
        <v>0</v>
      </c>
      <c r="I3100" s="354" t="str">
        <f t="shared" si="590"/>
        <v>-</v>
      </c>
      <c r="J3100" s="350">
        <f t="shared" si="591"/>
        <v>0</v>
      </c>
      <c r="K3100" s="360" t="s">
        <v>2299</v>
      </c>
      <c r="L3100" s="20"/>
      <c r="O3100" s="27"/>
      <c r="P3100" s="110">
        <v>0</v>
      </c>
      <c r="R3100" s="29" t="s">
        <v>2307</v>
      </c>
    </row>
    <row r="3101" spans="1:19" ht="16.5" thickBot="1">
      <c r="A3101" s="14">
        <f>A3061+1</f>
        <v>66</v>
      </c>
      <c r="B3101" s="14" t="str">
        <f>"MO" &amp; TEXT(A3101,"##000")</f>
        <v>MO066</v>
      </c>
      <c r="D3101" s="18"/>
      <c r="E3101" s="591" t="s">
        <v>2301</v>
      </c>
      <c r="F3101" s="592"/>
      <c r="G3101" s="592"/>
      <c r="H3101" s="592"/>
      <c r="I3101" s="328"/>
      <c r="J3101" s="362">
        <f>SUM(J3096:J3100)</f>
        <v>15.411190687500001</v>
      </c>
      <c r="K3101" s="365" t="str">
        <f>+G3096</f>
        <v>hs</v>
      </c>
      <c r="L3101" s="20"/>
      <c r="N3101" s="111">
        <f>+P3101+R3101</f>
        <v>19</v>
      </c>
      <c r="O3101" s="27"/>
      <c r="P3101" s="27">
        <f>SUM(P3094:P3100)</f>
        <v>10</v>
      </c>
      <c r="Q3101" s="26">
        <v>0.9</v>
      </c>
      <c r="R3101" s="287">
        <f>+Q3101*P3101</f>
        <v>9</v>
      </c>
      <c r="S3101" s="288"/>
    </row>
    <row r="3102" spans="1:19">
      <c r="D3102" s="18"/>
      <c r="E3102" s="593" t="s">
        <v>101</v>
      </c>
      <c r="F3102" s="594"/>
      <c r="G3102" s="594"/>
      <c r="H3102" s="594"/>
      <c r="I3102" s="594"/>
      <c r="J3102" s="595"/>
      <c r="K3102" s="347"/>
      <c r="L3102" s="20"/>
      <c r="P3102" s="14" t="s">
        <v>2308</v>
      </c>
    </row>
    <row r="3103" spans="1:19">
      <c r="A3103" s="14" t="s">
        <v>119</v>
      </c>
      <c r="D3103" s="18">
        <v>1</v>
      </c>
      <c r="E3103" s="26" t="str">
        <f>VLOOKUP($A3103,MATMO,2,FALSE)</f>
        <v>Herramientas de Mano</v>
      </c>
      <c r="F3103" s="311">
        <v>1</v>
      </c>
      <c r="G3103" s="307" t="str">
        <f>VLOOKUP($A3103,MATMO,3,FALSE)</f>
        <v>gl</v>
      </c>
      <c r="H3103" s="110">
        <f>+(J3094+J3101)*$Q$5</f>
        <v>500.61644762750001</v>
      </c>
      <c r="I3103" s="345" t="str">
        <f>+G3103</f>
        <v>gl</v>
      </c>
      <c r="J3103" s="350">
        <f t="shared" ref="J3103:J3107" si="592">+H3103*F3103</f>
        <v>500.61644762750001</v>
      </c>
      <c r="K3103" s="360" t="s">
        <v>2299</v>
      </c>
      <c r="L3103" s="20"/>
      <c r="M3103" s="14" t="s">
        <v>2004</v>
      </c>
    </row>
    <row r="3104" spans="1:19">
      <c r="A3104" s="14" t="s">
        <v>118</v>
      </c>
      <c r="D3104" s="18">
        <v>2</v>
      </c>
      <c r="E3104" s="26" t="str">
        <f>VLOOKUP($A3104,MATMO,2,FALSE)</f>
        <v>-</v>
      </c>
      <c r="F3104" s="311"/>
      <c r="G3104" s="307" t="str">
        <f>VLOOKUP($A3104,MATMO,3,FALSE)</f>
        <v>-</v>
      </c>
      <c r="H3104" s="110">
        <f>VLOOKUP($A3104,MATMO,4,FALSE)*$Q$6</f>
        <v>0</v>
      </c>
      <c r="I3104" s="543" t="str">
        <f t="shared" ref="I3104:I3107" si="593">+G3104</f>
        <v>-</v>
      </c>
      <c r="J3104" s="538">
        <f t="shared" si="592"/>
        <v>0</v>
      </c>
      <c r="K3104" s="539" t="s">
        <v>2299</v>
      </c>
      <c r="L3104" s="20"/>
    </row>
    <row r="3105" spans="1:12">
      <c r="A3105" s="14" t="s">
        <v>118</v>
      </c>
      <c r="D3105" s="18">
        <v>3</v>
      </c>
      <c r="E3105" s="26" t="str">
        <f>VLOOKUP($A3105,MATMO,2,FALSE)</f>
        <v>-</v>
      </c>
      <c r="F3105" s="311"/>
      <c r="G3105" s="307" t="str">
        <f>VLOOKUP($A3105,MATMO,3,FALSE)</f>
        <v>-</v>
      </c>
      <c r="H3105" s="110">
        <f>VLOOKUP($A3105,MATMO,4,FALSE)*$Q$6</f>
        <v>0</v>
      </c>
      <c r="I3105" s="543" t="str">
        <f t="shared" si="593"/>
        <v>-</v>
      </c>
      <c r="J3105" s="538">
        <f t="shared" si="592"/>
        <v>0</v>
      </c>
      <c r="K3105" s="539" t="s">
        <v>2299</v>
      </c>
      <c r="L3105" s="20"/>
    </row>
    <row r="3106" spans="1:12">
      <c r="A3106" s="14" t="s">
        <v>118</v>
      </c>
      <c r="D3106" s="18">
        <v>4</v>
      </c>
      <c r="E3106" s="26" t="str">
        <f>VLOOKUP($A3106,MATMO,2,FALSE)</f>
        <v>-</v>
      </c>
      <c r="F3106" s="311"/>
      <c r="G3106" s="307" t="str">
        <f>VLOOKUP($A3106,MATMO,3,FALSE)</f>
        <v>-</v>
      </c>
      <c r="H3106" s="110">
        <f>VLOOKUP($A3106,MATMO,4,FALSE)*$Q$6</f>
        <v>0</v>
      </c>
      <c r="I3106" s="543" t="str">
        <f t="shared" si="593"/>
        <v>-</v>
      </c>
      <c r="J3106" s="538">
        <f t="shared" si="592"/>
        <v>0</v>
      </c>
      <c r="K3106" s="539" t="s">
        <v>2299</v>
      </c>
      <c r="L3106" s="20"/>
    </row>
    <row r="3107" spans="1:12">
      <c r="A3107" s="14" t="s">
        <v>118</v>
      </c>
      <c r="D3107" s="18">
        <v>5</v>
      </c>
      <c r="E3107" s="26" t="str">
        <f>VLOOKUP($A3107,MATMO,2,FALSE)</f>
        <v>-</v>
      </c>
      <c r="F3107" s="311"/>
      <c r="G3107" s="307" t="str">
        <f>VLOOKUP($A3107,MATMO,3,FALSE)</f>
        <v>-</v>
      </c>
      <c r="H3107" s="110">
        <f>VLOOKUP($A3107,MATMO,4,FALSE)*$Q$6</f>
        <v>0</v>
      </c>
      <c r="I3107" s="543" t="str">
        <f t="shared" si="593"/>
        <v>-</v>
      </c>
      <c r="J3107" s="538">
        <f t="shared" si="592"/>
        <v>0</v>
      </c>
      <c r="K3107" s="539" t="s">
        <v>2299</v>
      </c>
      <c r="L3107" s="20"/>
    </row>
    <row r="3108" spans="1:12">
      <c r="A3108" s="14">
        <f>A3061+1</f>
        <v>66</v>
      </c>
      <c r="B3108" s="14" t="str">
        <f>"E" &amp; TEXT(A3108,"##000")</f>
        <v>E066</v>
      </c>
      <c r="D3108" s="18"/>
      <c r="E3108" s="591" t="s">
        <v>2300</v>
      </c>
      <c r="F3108" s="592"/>
      <c r="G3108" s="592"/>
      <c r="H3108" s="592"/>
      <c r="I3108" s="328"/>
      <c r="J3108" s="362">
        <f>SUM(J3103:J3107)</f>
        <v>500.61644762750001</v>
      </c>
      <c r="K3108" s="365" t="s">
        <v>116</v>
      </c>
      <c r="L3108" s="20"/>
    </row>
    <row r="3109" spans="1:12">
      <c r="D3109" s="18"/>
      <c r="E3109" s="596"/>
      <c r="F3109" s="597"/>
      <c r="G3109" s="597"/>
      <c r="H3109" s="597"/>
      <c r="I3109" s="597"/>
      <c r="J3109" s="598"/>
      <c r="K3109" s="348"/>
      <c r="L3109" s="20"/>
    </row>
    <row r="3110" spans="1:12">
      <c r="D3110" s="18"/>
      <c r="E3110" s="591" t="s">
        <v>2306</v>
      </c>
      <c r="F3110" s="592"/>
      <c r="G3110" s="592"/>
      <c r="H3110" s="592"/>
      <c r="I3110" s="328"/>
      <c r="J3110" s="308">
        <f>+J3108+J3101+J3094</f>
        <v>13016.027638314999</v>
      </c>
      <c r="K3110" s="365" t="str">
        <f>+F3071</f>
        <v>gl</v>
      </c>
      <c r="L3110" s="20"/>
    </row>
    <row r="3111" spans="1:12">
      <c r="D3111" s="18"/>
      <c r="E3111" s="591" t="s">
        <v>2305</v>
      </c>
      <c r="F3111" s="592"/>
      <c r="G3111" s="592"/>
      <c r="H3111" s="592"/>
      <c r="I3111" s="406">
        <f>+$Q$9</f>
        <v>1.6902999999999999</v>
      </c>
      <c r="J3111" s="308">
        <f>+$Q$9*J3110</f>
        <v>22000.991517043843</v>
      </c>
      <c r="K3111" s="365" t="str">
        <f>+F3071</f>
        <v>gl</v>
      </c>
      <c r="L3111" s="20"/>
    </row>
    <row r="3112" spans="1:12">
      <c r="A3112" s="14">
        <f>A3065+1</f>
        <v>66</v>
      </c>
      <c r="B3112" s="14" t="str">
        <f>"TR" &amp; TEXT(A3112,"##000")</f>
        <v>TR066</v>
      </c>
      <c r="C3112" s="14">
        <f>+C3065+1</f>
        <v>66</v>
      </c>
      <c r="D3112" s="18"/>
      <c r="E3112" s="591" t="s">
        <v>2304</v>
      </c>
      <c r="F3112" s="592"/>
      <c r="G3112" s="592"/>
      <c r="H3112" s="592"/>
      <c r="I3112" s="328"/>
      <c r="J3112" s="308">
        <f>+J3111</f>
        <v>22000.991517043843</v>
      </c>
      <c r="K3112" s="365" t="str">
        <f>+F3071</f>
        <v>gl</v>
      </c>
      <c r="L3112" s="20"/>
    </row>
    <row r="3113" spans="1:12" ht="16.5" thickBot="1">
      <c r="D3113" s="21"/>
      <c r="E3113" s="30"/>
      <c r="F3113" s="30"/>
      <c r="G3113" s="30"/>
      <c r="H3113" s="30"/>
      <c r="I3113" s="30"/>
      <c r="J3113" s="30"/>
      <c r="K3113" s="349"/>
      <c r="L3113" s="22"/>
    </row>
    <row r="3114" spans="1:12" ht="16.5" thickTop="1"/>
  </sheetData>
  <dataConsolidate/>
  <mergeCells count="931">
    <mergeCell ref="E6:K6"/>
    <mergeCell ref="E8:K8"/>
    <mergeCell ref="E3111:H3111"/>
    <mergeCell ref="E3112:H3112"/>
    <mergeCell ref="G3071:K3071"/>
    <mergeCell ref="E3073:K3073"/>
    <mergeCell ref="E3094:H3094"/>
    <mergeCell ref="E3095:J3095"/>
    <mergeCell ref="E3101:H3101"/>
    <mergeCell ref="E3102:J3102"/>
    <mergeCell ref="E3108:H3108"/>
    <mergeCell ref="E3109:J3109"/>
    <mergeCell ref="E3110:H3110"/>
    <mergeCell ref="E3055:J3055"/>
    <mergeCell ref="E3061:H3061"/>
    <mergeCell ref="E3062:J3062"/>
    <mergeCell ref="E3063:H3063"/>
    <mergeCell ref="E3064:H3064"/>
    <mergeCell ref="E3065:H3065"/>
    <mergeCell ref="G3068:K3068"/>
    <mergeCell ref="G3069:K3069"/>
    <mergeCell ref="G3070:K3070"/>
    <mergeCell ref="E3018:H3018"/>
    <mergeCell ref="G3021:K3021"/>
    <mergeCell ref="G3022:K3022"/>
    <mergeCell ref="G3023:K3023"/>
    <mergeCell ref="G3024:K3024"/>
    <mergeCell ref="E3026:K3026"/>
    <mergeCell ref="E3047:H3047"/>
    <mergeCell ref="E3048:J3048"/>
    <mergeCell ref="E3054:H3054"/>
    <mergeCell ref="E2979:K2979"/>
    <mergeCell ref="E3000:H3000"/>
    <mergeCell ref="E3001:J3001"/>
    <mergeCell ref="E3007:H3007"/>
    <mergeCell ref="E3008:J3008"/>
    <mergeCell ref="E3014:H3014"/>
    <mergeCell ref="E3015:J3015"/>
    <mergeCell ref="E3016:H3016"/>
    <mergeCell ref="E3017:H3017"/>
    <mergeCell ref="E2967:H2967"/>
    <mergeCell ref="E2968:J2968"/>
    <mergeCell ref="E2969:H2969"/>
    <mergeCell ref="E2970:H2970"/>
    <mergeCell ref="E2971:H2971"/>
    <mergeCell ref="G2974:K2974"/>
    <mergeCell ref="G2975:K2975"/>
    <mergeCell ref="G2976:K2976"/>
    <mergeCell ref="G2977:K2977"/>
    <mergeCell ref="G2927:K2927"/>
    <mergeCell ref="G2928:K2928"/>
    <mergeCell ref="G2929:K2929"/>
    <mergeCell ref="G2930:K2930"/>
    <mergeCell ref="E2932:K2932"/>
    <mergeCell ref="E2953:H2953"/>
    <mergeCell ref="E2954:J2954"/>
    <mergeCell ref="E2960:H2960"/>
    <mergeCell ref="E2961:J2961"/>
    <mergeCell ref="E2906:H2906"/>
    <mergeCell ref="E2907:J2907"/>
    <mergeCell ref="E2913:H2913"/>
    <mergeCell ref="E2914:J2914"/>
    <mergeCell ref="E2920:H2920"/>
    <mergeCell ref="E2921:J2921"/>
    <mergeCell ref="E2922:H2922"/>
    <mergeCell ref="E2923:H2923"/>
    <mergeCell ref="E2924:H2924"/>
    <mergeCell ref="E2874:J2874"/>
    <mergeCell ref="E2875:H2875"/>
    <mergeCell ref="E2876:H2876"/>
    <mergeCell ref="E2877:H2877"/>
    <mergeCell ref="G2880:K2880"/>
    <mergeCell ref="G2881:K2881"/>
    <mergeCell ref="G2882:K2882"/>
    <mergeCell ref="G2883:K2883"/>
    <mergeCell ref="E2885:K2885"/>
    <mergeCell ref="G2834:K2834"/>
    <mergeCell ref="G2835:K2835"/>
    <mergeCell ref="G2836:K2836"/>
    <mergeCell ref="E2838:K2838"/>
    <mergeCell ref="E2859:H2859"/>
    <mergeCell ref="E2860:J2860"/>
    <mergeCell ref="E2866:H2866"/>
    <mergeCell ref="E2867:J2867"/>
    <mergeCell ref="E2873:H2873"/>
    <mergeCell ref="E2813:J2813"/>
    <mergeCell ref="E2819:H2819"/>
    <mergeCell ref="E2820:J2820"/>
    <mergeCell ref="E2826:H2826"/>
    <mergeCell ref="E2827:J2827"/>
    <mergeCell ref="E2828:H2828"/>
    <mergeCell ref="E2829:H2829"/>
    <mergeCell ref="E2830:H2830"/>
    <mergeCell ref="G2833:K2833"/>
    <mergeCell ref="E2781:H2781"/>
    <mergeCell ref="E2782:H2782"/>
    <mergeCell ref="E2783:H2783"/>
    <mergeCell ref="G2786:K2786"/>
    <mergeCell ref="G2787:K2787"/>
    <mergeCell ref="G2788:K2788"/>
    <mergeCell ref="G2789:K2789"/>
    <mergeCell ref="E2791:K2791"/>
    <mergeCell ref="E2812:H2812"/>
    <mergeCell ref="G2741:K2741"/>
    <mergeCell ref="G2742:K2742"/>
    <mergeCell ref="E2744:K2744"/>
    <mergeCell ref="E2765:H2765"/>
    <mergeCell ref="E2766:J2766"/>
    <mergeCell ref="E2772:H2772"/>
    <mergeCell ref="E2773:J2773"/>
    <mergeCell ref="E2779:H2779"/>
    <mergeCell ref="E2780:J2780"/>
    <mergeCell ref="E2725:H2725"/>
    <mergeCell ref="E2726:J2726"/>
    <mergeCell ref="E2732:H2732"/>
    <mergeCell ref="E2733:J2733"/>
    <mergeCell ref="E2734:H2734"/>
    <mergeCell ref="E2735:H2735"/>
    <mergeCell ref="E2736:H2736"/>
    <mergeCell ref="G2739:K2739"/>
    <mergeCell ref="G2740:K2740"/>
    <mergeCell ref="E2688:H2688"/>
    <mergeCell ref="E2689:H2689"/>
    <mergeCell ref="G2692:K2692"/>
    <mergeCell ref="G2693:K2693"/>
    <mergeCell ref="G2694:K2694"/>
    <mergeCell ref="G2695:K2695"/>
    <mergeCell ref="E2697:K2697"/>
    <mergeCell ref="E2718:H2718"/>
    <mergeCell ref="E2719:J2719"/>
    <mergeCell ref="G2648:K2648"/>
    <mergeCell ref="E2650:K2650"/>
    <mergeCell ref="E2671:H2671"/>
    <mergeCell ref="E2672:J2672"/>
    <mergeCell ref="E2678:H2678"/>
    <mergeCell ref="E2679:J2679"/>
    <mergeCell ref="E2685:H2685"/>
    <mergeCell ref="E2686:J2686"/>
    <mergeCell ref="E2687:H2687"/>
    <mergeCell ref="E2632:J2632"/>
    <mergeCell ref="E2638:H2638"/>
    <mergeCell ref="E2639:J2639"/>
    <mergeCell ref="E2640:H2640"/>
    <mergeCell ref="E2641:H2641"/>
    <mergeCell ref="E2642:H2642"/>
    <mergeCell ref="G2645:K2645"/>
    <mergeCell ref="G2646:K2646"/>
    <mergeCell ref="G2647:K2647"/>
    <mergeCell ref="E2595:H2595"/>
    <mergeCell ref="G2598:K2598"/>
    <mergeCell ref="G2599:K2599"/>
    <mergeCell ref="G2600:K2600"/>
    <mergeCell ref="G2601:K2601"/>
    <mergeCell ref="E2603:K2603"/>
    <mergeCell ref="E2624:H2624"/>
    <mergeCell ref="E2625:J2625"/>
    <mergeCell ref="E2631:H2631"/>
    <mergeCell ref="E2556:K2556"/>
    <mergeCell ref="E2577:H2577"/>
    <mergeCell ref="E2578:J2578"/>
    <mergeCell ref="E2584:H2584"/>
    <mergeCell ref="E2585:J2585"/>
    <mergeCell ref="E2591:H2591"/>
    <mergeCell ref="E2592:J2592"/>
    <mergeCell ref="E2593:H2593"/>
    <mergeCell ref="E2594:H2594"/>
    <mergeCell ref="E2544:H2544"/>
    <mergeCell ref="E2545:J2545"/>
    <mergeCell ref="E2546:H2546"/>
    <mergeCell ref="E2547:H2547"/>
    <mergeCell ref="E2548:H2548"/>
    <mergeCell ref="G2551:K2551"/>
    <mergeCell ref="G2552:K2552"/>
    <mergeCell ref="G2553:K2553"/>
    <mergeCell ref="G2554:K2554"/>
    <mergeCell ref="G2504:K2504"/>
    <mergeCell ref="G2505:K2505"/>
    <mergeCell ref="G2506:K2506"/>
    <mergeCell ref="G2507:K2507"/>
    <mergeCell ref="E2509:K2509"/>
    <mergeCell ref="E2530:H2530"/>
    <mergeCell ref="E2531:J2531"/>
    <mergeCell ref="E2537:H2537"/>
    <mergeCell ref="E2538:J2538"/>
    <mergeCell ref="E2483:H2483"/>
    <mergeCell ref="E2484:J2484"/>
    <mergeCell ref="E2490:H2490"/>
    <mergeCell ref="E2491:J2491"/>
    <mergeCell ref="E2497:H2497"/>
    <mergeCell ref="E2498:J2498"/>
    <mergeCell ref="E2499:H2499"/>
    <mergeCell ref="E2500:H2500"/>
    <mergeCell ref="E2501:H2501"/>
    <mergeCell ref="E2451:J2451"/>
    <mergeCell ref="E2452:H2452"/>
    <mergeCell ref="E2453:H2453"/>
    <mergeCell ref="E2454:H2454"/>
    <mergeCell ref="G2457:K2457"/>
    <mergeCell ref="G2458:K2458"/>
    <mergeCell ref="G2459:K2459"/>
    <mergeCell ref="G2460:K2460"/>
    <mergeCell ref="E2462:K2462"/>
    <mergeCell ref="G2411:K2411"/>
    <mergeCell ref="G2412:K2412"/>
    <mergeCell ref="G2413:K2413"/>
    <mergeCell ref="E2415:K2415"/>
    <mergeCell ref="E2436:H2436"/>
    <mergeCell ref="E2437:J2437"/>
    <mergeCell ref="E2443:H2443"/>
    <mergeCell ref="E2444:J2444"/>
    <mergeCell ref="E2450:H2450"/>
    <mergeCell ref="E2390:J2390"/>
    <mergeCell ref="E2396:H2396"/>
    <mergeCell ref="E2397:J2397"/>
    <mergeCell ref="E2403:H2403"/>
    <mergeCell ref="E2404:J2404"/>
    <mergeCell ref="E2405:H2405"/>
    <mergeCell ref="E2406:H2406"/>
    <mergeCell ref="E2407:H2407"/>
    <mergeCell ref="G2410:K2410"/>
    <mergeCell ref="E2358:H2358"/>
    <mergeCell ref="E2359:H2359"/>
    <mergeCell ref="E2360:H2360"/>
    <mergeCell ref="G2363:K2363"/>
    <mergeCell ref="G2364:K2364"/>
    <mergeCell ref="G2365:K2365"/>
    <mergeCell ref="G2366:K2366"/>
    <mergeCell ref="E2368:K2368"/>
    <mergeCell ref="E2389:H2389"/>
    <mergeCell ref="G2318:K2318"/>
    <mergeCell ref="G2319:K2319"/>
    <mergeCell ref="E2321:K2321"/>
    <mergeCell ref="E2342:H2342"/>
    <mergeCell ref="E2343:J2343"/>
    <mergeCell ref="E2349:H2349"/>
    <mergeCell ref="E2350:J2350"/>
    <mergeCell ref="E2356:H2356"/>
    <mergeCell ref="E2357:J2357"/>
    <mergeCell ref="E2302:H2302"/>
    <mergeCell ref="E2303:J2303"/>
    <mergeCell ref="E2309:H2309"/>
    <mergeCell ref="E2310:J2310"/>
    <mergeCell ref="E2311:H2311"/>
    <mergeCell ref="E2312:H2312"/>
    <mergeCell ref="E2313:H2313"/>
    <mergeCell ref="G2316:K2316"/>
    <mergeCell ref="G2317:K2317"/>
    <mergeCell ref="E2265:H2265"/>
    <mergeCell ref="E2266:H2266"/>
    <mergeCell ref="G2269:K2269"/>
    <mergeCell ref="G2270:K2270"/>
    <mergeCell ref="G2271:K2271"/>
    <mergeCell ref="G2272:K2272"/>
    <mergeCell ref="E2274:K2274"/>
    <mergeCell ref="E2295:H2295"/>
    <mergeCell ref="E2296:J2296"/>
    <mergeCell ref="G2225:K2225"/>
    <mergeCell ref="E2227:K2227"/>
    <mergeCell ref="E2248:H2248"/>
    <mergeCell ref="E2249:J2249"/>
    <mergeCell ref="E2255:H2255"/>
    <mergeCell ref="E2256:J2256"/>
    <mergeCell ref="E2262:H2262"/>
    <mergeCell ref="E2263:J2263"/>
    <mergeCell ref="E2264:H2264"/>
    <mergeCell ref="E2209:J2209"/>
    <mergeCell ref="E2215:H2215"/>
    <mergeCell ref="E2216:J2216"/>
    <mergeCell ref="E2217:H2217"/>
    <mergeCell ref="E2218:H2218"/>
    <mergeCell ref="E2219:H2219"/>
    <mergeCell ref="G2222:K2222"/>
    <mergeCell ref="G2223:K2223"/>
    <mergeCell ref="G2224:K2224"/>
    <mergeCell ref="E2172:H2172"/>
    <mergeCell ref="G2175:K2175"/>
    <mergeCell ref="G2176:K2176"/>
    <mergeCell ref="G2177:K2177"/>
    <mergeCell ref="G2178:K2178"/>
    <mergeCell ref="E2180:K2180"/>
    <mergeCell ref="E2201:H2201"/>
    <mergeCell ref="E2202:J2202"/>
    <mergeCell ref="E2208:H2208"/>
    <mergeCell ref="E2133:K2133"/>
    <mergeCell ref="E2154:H2154"/>
    <mergeCell ref="E2155:J2155"/>
    <mergeCell ref="E2161:H2161"/>
    <mergeCell ref="E2162:J2162"/>
    <mergeCell ref="E2168:H2168"/>
    <mergeCell ref="E2169:J2169"/>
    <mergeCell ref="E2170:H2170"/>
    <mergeCell ref="E2171:H2171"/>
    <mergeCell ref="E2121:H2121"/>
    <mergeCell ref="E2122:J2122"/>
    <mergeCell ref="E2123:H2123"/>
    <mergeCell ref="E2124:H2124"/>
    <mergeCell ref="E2125:H2125"/>
    <mergeCell ref="G2128:K2128"/>
    <mergeCell ref="G2129:K2129"/>
    <mergeCell ref="G2130:K2130"/>
    <mergeCell ref="G2131:K2131"/>
    <mergeCell ref="G2081:K2081"/>
    <mergeCell ref="G2082:K2082"/>
    <mergeCell ref="G2083:K2083"/>
    <mergeCell ref="G2084:K2084"/>
    <mergeCell ref="E2086:K2086"/>
    <mergeCell ref="E2107:H2107"/>
    <mergeCell ref="E2108:J2108"/>
    <mergeCell ref="E2114:H2114"/>
    <mergeCell ref="E2115:J2115"/>
    <mergeCell ref="E101:J101"/>
    <mergeCell ref="E102:H102"/>
    <mergeCell ref="E368:H368"/>
    <mergeCell ref="G107:K107"/>
    <mergeCell ref="G108:K108"/>
    <mergeCell ref="E103:H103"/>
    <mergeCell ref="E104:H104"/>
    <mergeCell ref="G60:K60"/>
    <mergeCell ref="G61:K61"/>
    <mergeCell ref="G62:K62"/>
    <mergeCell ref="G109:K109"/>
    <mergeCell ref="G110:K110"/>
    <mergeCell ref="E112:K112"/>
    <mergeCell ref="E133:H133"/>
    <mergeCell ref="E86:H86"/>
    <mergeCell ref="E87:J87"/>
    <mergeCell ref="E93:H93"/>
    <mergeCell ref="E94:J94"/>
    <mergeCell ref="E100:H100"/>
    <mergeCell ref="G63:K63"/>
    <mergeCell ref="E65:K65"/>
    <mergeCell ref="E134:J134"/>
    <mergeCell ref="E140:H140"/>
    <mergeCell ref="E141:J141"/>
    <mergeCell ref="G859:K859"/>
    <mergeCell ref="G860:K860"/>
    <mergeCell ref="G861:K861"/>
    <mergeCell ref="G862:K862"/>
    <mergeCell ref="E856:H856"/>
    <mergeCell ref="E714:H714"/>
    <mergeCell ref="E723:K723"/>
    <mergeCell ref="E572:H572"/>
    <mergeCell ref="E573:H573"/>
    <mergeCell ref="E574:H574"/>
    <mergeCell ref="E582:K582"/>
    <mergeCell ref="E603:H603"/>
    <mergeCell ref="E604:J604"/>
    <mergeCell ref="E610:H610"/>
    <mergeCell ref="E611:J611"/>
    <mergeCell ref="E617:H617"/>
    <mergeCell ref="E618:J618"/>
    <mergeCell ref="E619:H619"/>
    <mergeCell ref="E620:H620"/>
    <mergeCell ref="E621:H621"/>
    <mergeCell ref="G624:K624"/>
    <mergeCell ref="G625:K625"/>
    <mergeCell ref="G626:K626"/>
    <mergeCell ref="G627:K627"/>
    <mergeCell ref="E2078:H2078"/>
    <mergeCell ref="E1936:H1936"/>
    <mergeCell ref="E1839:H1839"/>
    <mergeCell ref="E1794:H1794"/>
    <mergeCell ref="E1792:H1792"/>
    <mergeCell ref="E1793:J1793"/>
    <mergeCell ref="E1795:H1795"/>
    <mergeCell ref="E1796:H1796"/>
    <mergeCell ref="G1799:K1799"/>
    <mergeCell ref="G1800:K1800"/>
    <mergeCell ref="G1801:K1801"/>
    <mergeCell ref="E1833:J1833"/>
    <mergeCell ref="E1840:J1840"/>
    <mergeCell ref="E1841:H1841"/>
    <mergeCell ref="E1842:H1842"/>
    <mergeCell ref="E1843:H1843"/>
    <mergeCell ref="G1846:K1846"/>
    <mergeCell ref="G1847:K1847"/>
    <mergeCell ref="G1848:K1848"/>
    <mergeCell ref="G1849:K1849"/>
    <mergeCell ref="E1851:K1851"/>
    <mergeCell ref="E1872:H1872"/>
    <mergeCell ref="E1873:J1873"/>
    <mergeCell ref="E1879:H1879"/>
    <mergeCell ref="G1472:K1472"/>
    <mergeCell ref="G1473:K1473"/>
    <mergeCell ref="E1475:K1475"/>
    <mergeCell ref="E1496:H1496"/>
    <mergeCell ref="E1497:J1497"/>
    <mergeCell ref="E1503:H1503"/>
    <mergeCell ref="E1074:J1074"/>
    <mergeCell ref="E1080:H1080"/>
    <mergeCell ref="E1081:J1081"/>
    <mergeCell ref="E1087:H1087"/>
    <mergeCell ref="E1088:J1088"/>
    <mergeCell ref="E1089:H1089"/>
    <mergeCell ref="E1091:H1091"/>
    <mergeCell ref="G1094:K1094"/>
    <mergeCell ref="G1095:K1095"/>
    <mergeCell ref="E1090:H1090"/>
    <mergeCell ref="G1096:K1096"/>
    <mergeCell ref="G1097:K1097"/>
    <mergeCell ref="E1099:K1099"/>
    <mergeCell ref="E1120:H1120"/>
    <mergeCell ref="E1121:J1121"/>
    <mergeCell ref="E1127:H1127"/>
    <mergeCell ref="G1144:K1144"/>
    <mergeCell ref="E1146:K1146"/>
    <mergeCell ref="E1456:H1456"/>
    <mergeCell ref="E1457:J1457"/>
    <mergeCell ref="E1463:H1463"/>
    <mergeCell ref="E1464:J1464"/>
    <mergeCell ref="E1465:H1465"/>
    <mergeCell ref="E1466:H1466"/>
    <mergeCell ref="E1467:H1467"/>
    <mergeCell ref="G1470:K1470"/>
    <mergeCell ref="G1471:K1471"/>
    <mergeCell ref="E46:H46"/>
    <mergeCell ref="E1420:H1420"/>
    <mergeCell ref="G1423:K1423"/>
    <mergeCell ref="G1424:K1424"/>
    <mergeCell ref="G1425:K1425"/>
    <mergeCell ref="G1426:K1426"/>
    <mergeCell ref="E1428:K1428"/>
    <mergeCell ref="E1449:H1449"/>
    <mergeCell ref="E1450:J1450"/>
    <mergeCell ref="E1167:H1167"/>
    <mergeCell ref="E1128:J1128"/>
    <mergeCell ref="E1134:H1134"/>
    <mergeCell ref="E1135:J1135"/>
    <mergeCell ref="E1136:H1136"/>
    <mergeCell ref="E1137:H1137"/>
    <mergeCell ref="E1138:H1138"/>
    <mergeCell ref="G1141:K1141"/>
    <mergeCell ref="G1142:K1142"/>
    <mergeCell ref="G1143:K1143"/>
    <mergeCell ref="E1168:J1168"/>
    <mergeCell ref="E1174:H1174"/>
    <mergeCell ref="E1315:H1315"/>
    <mergeCell ref="E1261:H1261"/>
    <mergeCell ref="E1268:H1268"/>
    <mergeCell ref="E3:K3"/>
    <mergeCell ref="E4:K4"/>
    <mergeCell ref="E5:K5"/>
    <mergeCell ref="E147:H147"/>
    <mergeCell ref="E148:J148"/>
    <mergeCell ref="E149:H149"/>
    <mergeCell ref="E150:H150"/>
    <mergeCell ref="E151:H151"/>
    <mergeCell ref="G154:K154"/>
    <mergeCell ref="E18:K18"/>
    <mergeCell ref="E56:H56"/>
    <mergeCell ref="E57:H57"/>
    <mergeCell ref="G13:K13"/>
    <mergeCell ref="G14:K14"/>
    <mergeCell ref="G15:K15"/>
    <mergeCell ref="G16:K16"/>
    <mergeCell ref="E53:H53"/>
    <mergeCell ref="E7:J7"/>
    <mergeCell ref="E47:J47"/>
    <mergeCell ref="E39:H39"/>
    <mergeCell ref="E9:J9"/>
    <mergeCell ref="E54:J54"/>
    <mergeCell ref="E55:H55"/>
    <mergeCell ref="E40:J40"/>
    <mergeCell ref="G155:K155"/>
    <mergeCell ref="G156:K156"/>
    <mergeCell ref="G157:K157"/>
    <mergeCell ref="E159:K159"/>
    <mergeCell ref="E180:H180"/>
    <mergeCell ref="E181:J181"/>
    <mergeCell ref="E187:H187"/>
    <mergeCell ref="E188:J188"/>
    <mergeCell ref="E194:H194"/>
    <mergeCell ref="E195:J195"/>
    <mergeCell ref="E196:H196"/>
    <mergeCell ref="E197:H197"/>
    <mergeCell ref="E198:H198"/>
    <mergeCell ref="G201:K201"/>
    <mergeCell ref="G202:K202"/>
    <mergeCell ref="G203:K203"/>
    <mergeCell ref="G204:K204"/>
    <mergeCell ref="E206:K206"/>
    <mergeCell ref="E227:H227"/>
    <mergeCell ref="E228:J228"/>
    <mergeCell ref="E234:H234"/>
    <mergeCell ref="E235:J235"/>
    <mergeCell ref="E241:H241"/>
    <mergeCell ref="E242:J242"/>
    <mergeCell ref="E243:H243"/>
    <mergeCell ref="E244:H244"/>
    <mergeCell ref="E245:H245"/>
    <mergeCell ref="G248:K248"/>
    <mergeCell ref="G249:K249"/>
    <mergeCell ref="G250:K250"/>
    <mergeCell ref="G251:K251"/>
    <mergeCell ref="E253:K253"/>
    <mergeCell ref="E274:H274"/>
    <mergeCell ref="E275:J275"/>
    <mergeCell ref="E281:H281"/>
    <mergeCell ref="E282:J282"/>
    <mergeCell ref="E288:H288"/>
    <mergeCell ref="E289:J289"/>
    <mergeCell ref="E290:H290"/>
    <mergeCell ref="E291:H291"/>
    <mergeCell ref="E292:H292"/>
    <mergeCell ref="G295:K295"/>
    <mergeCell ref="G296:K296"/>
    <mergeCell ref="G297:K297"/>
    <mergeCell ref="G298:K298"/>
    <mergeCell ref="E300:K300"/>
    <mergeCell ref="E321:H321"/>
    <mergeCell ref="E322:J322"/>
    <mergeCell ref="E328:H328"/>
    <mergeCell ref="E329:J329"/>
    <mergeCell ref="E335:H335"/>
    <mergeCell ref="E336:J336"/>
    <mergeCell ref="E337:H337"/>
    <mergeCell ref="E338:H338"/>
    <mergeCell ref="E339:H339"/>
    <mergeCell ref="G342:K342"/>
    <mergeCell ref="G343:K343"/>
    <mergeCell ref="G344:K344"/>
    <mergeCell ref="G345:K345"/>
    <mergeCell ref="E347:K347"/>
    <mergeCell ref="E369:J369"/>
    <mergeCell ref="E375:H375"/>
    <mergeCell ref="E376:J376"/>
    <mergeCell ref="E382:H382"/>
    <mergeCell ref="E383:J383"/>
    <mergeCell ref="E384:H384"/>
    <mergeCell ref="E385:H385"/>
    <mergeCell ref="E386:H386"/>
    <mergeCell ref="G389:K389"/>
    <mergeCell ref="G390:K390"/>
    <mergeCell ref="G391:K391"/>
    <mergeCell ref="G392:K392"/>
    <mergeCell ref="E394:K394"/>
    <mergeCell ref="E416:J416"/>
    <mergeCell ref="E422:H422"/>
    <mergeCell ref="E423:J423"/>
    <mergeCell ref="E429:H429"/>
    <mergeCell ref="E430:J430"/>
    <mergeCell ref="E431:H431"/>
    <mergeCell ref="E432:H432"/>
    <mergeCell ref="E433:H433"/>
    <mergeCell ref="E415:H415"/>
    <mergeCell ref="G436:K436"/>
    <mergeCell ref="G437:K437"/>
    <mergeCell ref="G438:K438"/>
    <mergeCell ref="G439:K439"/>
    <mergeCell ref="E441:K441"/>
    <mergeCell ref="E462:H462"/>
    <mergeCell ref="E463:J463"/>
    <mergeCell ref="E469:H469"/>
    <mergeCell ref="E470:J470"/>
    <mergeCell ref="E476:H476"/>
    <mergeCell ref="E477:J477"/>
    <mergeCell ref="E478:H478"/>
    <mergeCell ref="E479:H479"/>
    <mergeCell ref="E480:H480"/>
    <mergeCell ref="G483:K483"/>
    <mergeCell ref="G484:K484"/>
    <mergeCell ref="G485:K485"/>
    <mergeCell ref="G486:K486"/>
    <mergeCell ref="E488:K488"/>
    <mergeCell ref="E509:H509"/>
    <mergeCell ref="E510:J510"/>
    <mergeCell ref="E516:H516"/>
    <mergeCell ref="E517:J517"/>
    <mergeCell ref="G532:K532"/>
    <mergeCell ref="G533:K533"/>
    <mergeCell ref="E535:K535"/>
    <mergeCell ref="E556:H556"/>
    <mergeCell ref="E523:H523"/>
    <mergeCell ref="E524:J524"/>
    <mergeCell ref="E525:H525"/>
    <mergeCell ref="E526:H526"/>
    <mergeCell ref="E527:H527"/>
    <mergeCell ref="G530:K530"/>
    <mergeCell ref="G531:K531"/>
    <mergeCell ref="E557:J557"/>
    <mergeCell ref="E563:H563"/>
    <mergeCell ref="E564:J564"/>
    <mergeCell ref="E570:H570"/>
    <mergeCell ref="E571:J571"/>
    <mergeCell ref="G577:K577"/>
    <mergeCell ref="G578:K578"/>
    <mergeCell ref="G579:K579"/>
    <mergeCell ref="G580:K580"/>
    <mergeCell ref="E629:K629"/>
    <mergeCell ref="E650:H650"/>
    <mergeCell ref="E651:J651"/>
    <mergeCell ref="E657:H657"/>
    <mergeCell ref="E658:J658"/>
    <mergeCell ref="E664:H664"/>
    <mergeCell ref="E665:J665"/>
    <mergeCell ref="E666:H666"/>
    <mergeCell ref="E667:H667"/>
    <mergeCell ref="E668:H668"/>
    <mergeCell ref="G671:K671"/>
    <mergeCell ref="G672:K672"/>
    <mergeCell ref="G673:K673"/>
    <mergeCell ref="G674:K674"/>
    <mergeCell ref="E676:K676"/>
    <mergeCell ref="E697:H697"/>
    <mergeCell ref="E698:J698"/>
    <mergeCell ref="E704:H704"/>
    <mergeCell ref="E705:J705"/>
    <mergeCell ref="E711:H711"/>
    <mergeCell ref="E712:J712"/>
    <mergeCell ref="E713:H713"/>
    <mergeCell ref="E715:H715"/>
    <mergeCell ref="G718:K718"/>
    <mergeCell ref="G719:K719"/>
    <mergeCell ref="G720:K720"/>
    <mergeCell ref="G721:K721"/>
    <mergeCell ref="E744:H744"/>
    <mergeCell ref="E745:J745"/>
    <mergeCell ref="E751:H751"/>
    <mergeCell ref="E752:J752"/>
    <mergeCell ref="E758:H758"/>
    <mergeCell ref="E759:J759"/>
    <mergeCell ref="E760:H760"/>
    <mergeCell ref="E761:H761"/>
    <mergeCell ref="E762:H762"/>
    <mergeCell ref="G765:K765"/>
    <mergeCell ref="G766:K766"/>
    <mergeCell ref="G767:K767"/>
    <mergeCell ref="G768:K768"/>
    <mergeCell ref="E770:K770"/>
    <mergeCell ref="E791:H791"/>
    <mergeCell ref="E792:J792"/>
    <mergeCell ref="E798:H798"/>
    <mergeCell ref="E799:J799"/>
    <mergeCell ref="E805:H805"/>
    <mergeCell ref="E806:J806"/>
    <mergeCell ref="E807:H807"/>
    <mergeCell ref="E808:H808"/>
    <mergeCell ref="E809:H809"/>
    <mergeCell ref="G812:K812"/>
    <mergeCell ref="G813:K813"/>
    <mergeCell ref="G814:K814"/>
    <mergeCell ref="G815:K815"/>
    <mergeCell ref="E817:K817"/>
    <mergeCell ref="E838:H838"/>
    <mergeCell ref="E839:J839"/>
    <mergeCell ref="E845:H845"/>
    <mergeCell ref="E846:J846"/>
    <mergeCell ref="E852:H852"/>
    <mergeCell ref="E853:J853"/>
    <mergeCell ref="E854:H854"/>
    <mergeCell ref="E855:H855"/>
    <mergeCell ref="E864:K864"/>
    <mergeCell ref="E885:H885"/>
    <mergeCell ref="E886:J886"/>
    <mergeCell ref="E892:H892"/>
    <mergeCell ref="E893:J893"/>
    <mergeCell ref="E899:H899"/>
    <mergeCell ref="E900:J900"/>
    <mergeCell ref="E902:H902"/>
    <mergeCell ref="E903:H903"/>
    <mergeCell ref="E901:H901"/>
    <mergeCell ref="G906:K906"/>
    <mergeCell ref="G907:K907"/>
    <mergeCell ref="G908:K908"/>
    <mergeCell ref="G909:K909"/>
    <mergeCell ref="E911:K911"/>
    <mergeCell ref="E932:H932"/>
    <mergeCell ref="E933:J933"/>
    <mergeCell ref="E940:J940"/>
    <mergeCell ref="E947:J947"/>
    <mergeCell ref="E939:H939"/>
    <mergeCell ref="E946:H946"/>
    <mergeCell ref="E948:H948"/>
    <mergeCell ref="E949:H949"/>
    <mergeCell ref="E950:H950"/>
    <mergeCell ref="G953:K953"/>
    <mergeCell ref="G954:K954"/>
    <mergeCell ref="G955:K955"/>
    <mergeCell ref="G956:K956"/>
    <mergeCell ref="E958:K958"/>
    <mergeCell ref="E979:H979"/>
    <mergeCell ref="E980:J980"/>
    <mergeCell ref="E986:H986"/>
    <mergeCell ref="E987:J987"/>
    <mergeCell ref="E993:H993"/>
    <mergeCell ref="E994:J994"/>
    <mergeCell ref="E995:H995"/>
    <mergeCell ref="E996:H996"/>
    <mergeCell ref="E997:H997"/>
    <mergeCell ref="G1000:K1000"/>
    <mergeCell ref="G1001:K1001"/>
    <mergeCell ref="G1002:K1002"/>
    <mergeCell ref="G1003:K1003"/>
    <mergeCell ref="E1005:K1005"/>
    <mergeCell ref="E1026:H1026"/>
    <mergeCell ref="E1027:J1027"/>
    <mergeCell ref="E1033:H1033"/>
    <mergeCell ref="E1034:J1034"/>
    <mergeCell ref="E1040:H1040"/>
    <mergeCell ref="E1041:J1041"/>
    <mergeCell ref="E1042:H1042"/>
    <mergeCell ref="E1044:H1044"/>
    <mergeCell ref="G1047:K1047"/>
    <mergeCell ref="G1048:K1048"/>
    <mergeCell ref="G1049:K1049"/>
    <mergeCell ref="G1050:K1050"/>
    <mergeCell ref="E1052:K1052"/>
    <mergeCell ref="E1073:H1073"/>
    <mergeCell ref="E1043:H1043"/>
    <mergeCell ref="E1175:J1175"/>
    <mergeCell ref="E1181:H1181"/>
    <mergeCell ref="E1182:J1182"/>
    <mergeCell ref="E1183:H1183"/>
    <mergeCell ref="E1184:H1184"/>
    <mergeCell ref="E1185:H1185"/>
    <mergeCell ref="G1188:K1188"/>
    <mergeCell ref="G1189:K1189"/>
    <mergeCell ref="G1190:K1190"/>
    <mergeCell ref="G1191:K1191"/>
    <mergeCell ref="E1193:K1193"/>
    <mergeCell ref="E1214:H1214"/>
    <mergeCell ref="E1215:J1215"/>
    <mergeCell ref="E1221:H1221"/>
    <mergeCell ref="E1222:J1222"/>
    <mergeCell ref="E1228:H1228"/>
    <mergeCell ref="E1229:J1229"/>
    <mergeCell ref="E1230:H1230"/>
    <mergeCell ref="E1231:H1231"/>
    <mergeCell ref="E1232:H1232"/>
    <mergeCell ref="G1235:K1235"/>
    <mergeCell ref="G1236:K1236"/>
    <mergeCell ref="G1237:K1237"/>
    <mergeCell ref="G1238:K1238"/>
    <mergeCell ref="E1240:K1240"/>
    <mergeCell ref="E1262:J1262"/>
    <mergeCell ref="E1269:J1269"/>
    <mergeCell ref="E1275:H1275"/>
    <mergeCell ref="E1276:J1276"/>
    <mergeCell ref="E1277:H1277"/>
    <mergeCell ref="E1278:H1278"/>
    <mergeCell ref="E1279:H1279"/>
    <mergeCell ref="G1282:K1282"/>
    <mergeCell ref="G1283:K1283"/>
    <mergeCell ref="G1284:K1284"/>
    <mergeCell ref="G1285:K1285"/>
    <mergeCell ref="E1287:K1287"/>
    <mergeCell ref="E1308:H1308"/>
    <mergeCell ref="E1309:J1309"/>
    <mergeCell ref="E1316:J1316"/>
    <mergeCell ref="E1322:H1322"/>
    <mergeCell ref="E1323:J1323"/>
    <mergeCell ref="E1324:H1324"/>
    <mergeCell ref="E1325:H1325"/>
    <mergeCell ref="E1326:H1326"/>
    <mergeCell ref="G1329:K1329"/>
    <mergeCell ref="G1330:K1330"/>
    <mergeCell ref="G1331:K1331"/>
    <mergeCell ref="G1332:K1332"/>
    <mergeCell ref="E1334:K1334"/>
    <mergeCell ref="E1355:H1355"/>
    <mergeCell ref="E1356:J1356"/>
    <mergeCell ref="E1362:H1362"/>
    <mergeCell ref="E1363:J1363"/>
    <mergeCell ref="E1369:H1369"/>
    <mergeCell ref="E1370:J1370"/>
    <mergeCell ref="E1371:H1371"/>
    <mergeCell ref="E1372:H1372"/>
    <mergeCell ref="E1373:H1373"/>
    <mergeCell ref="G1376:K1376"/>
    <mergeCell ref="G1377:K1377"/>
    <mergeCell ref="G1378:K1378"/>
    <mergeCell ref="G1379:K1379"/>
    <mergeCell ref="E1381:K1381"/>
    <mergeCell ref="E1402:H1402"/>
    <mergeCell ref="E1403:J1403"/>
    <mergeCell ref="E1409:H1409"/>
    <mergeCell ref="E1410:J1410"/>
    <mergeCell ref="E1416:H1416"/>
    <mergeCell ref="E1417:J1417"/>
    <mergeCell ref="E1418:H1418"/>
    <mergeCell ref="E1419:H1419"/>
    <mergeCell ref="E1504:J1504"/>
    <mergeCell ref="E1510:H1510"/>
    <mergeCell ref="E1511:J1511"/>
    <mergeCell ref="E1512:H1512"/>
    <mergeCell ref="E1513:H1513"/>
    <mergeCell ref="E1514:H1514"/>
    <mergeCell ref="G1517:K1517"/>
    <mergeCell ref="G1518:K1518"/>
    <mergeCell ref="G1519:K1519"/>
    <mergeCell ref="G1520:K1520"/>
    <mergeCell ref="E1522:K1522"/>
    <mergeCell ref="E1543:H1543"/>
    <mergeCell ref="E1544:J1544"/>
    <mergeCell ref="E1550:H1550"/>
    <mergeCell ref="E1551:J1551"/>
    <mergeCell ref="E1557:H1557"/>
    <mergeCell ref="E1558:J1558"/>
    <mergeCell ref="E1559:H1559"/>
    <mergeCell ref="E1560:H1560"/>
    <mergeCell ref="E1561:H1561"/>
    <mergeCell ref="G1564:K1564"/>
    <mergeCell ref="G1565:K1565"/>
    <mergeCell ref="G1566:K1566"/>
    <mergeCell ref="G1567:K1567"/>
    <mergeCell ref="E1569:K1569"/>
    <mergeCell ref="E1590:H1590"/>
    <mergeCell ref="E1591:J1591"/>
    <mergeCell ref="E1597:H1597"/>
    <mergeCell ref="E1598:J1598"/>
    <mergeCell ref="E1604:H1604"/>
    <mergeCell ref="E1605:J1605"/>
    <mergeCell ref="E1616:K1616"/>
    <mergeCell ref="E1637:H1637"/>
    <mergeCell ref="E1638:J1638"/>
    <mergeCell ref="E1644:H1644"/>
    <mergeCell ref="E1645:J1645"/>
    <mergeCell ref="G1614:K1614"/>
    <mergeCell ref="E1606:H1606"/>
    <mergeCell ref="E1607:H1607"/>
    <mergeCell ref="E1608:H1608"/>
    <mergeCell ref="G1611:K1611"/>
    <mergeCell ref="G1612:K1612"/>
    <mergeCell ref="G1613:K1613"/>
    <mergeCell ref="E1651:H1651"/>
    <mergeCell ref="E1652:J1652"/>
    <mergeCell ref="E1653:H1653"/>
    <mergeCell ref="E1654:H1654"/>
    <mergeCell ref="E1655:H1655"/>
    <mergeCell ref="G1658:K1658"/>
    <mergeCell ref="G1659:K1659"/>
    <mergeCell ref="G1660:K1660"/>
    <mergeCell ref="G1661:K1661"/>
    <mergeCell ref="E1663:K1663"/>
    <mergeCell ref="E1684:H1684"/>
    <mergeCell ref="E1685:J1685"/>
    <mergeCell ref="E1691:H1691"/>
    <mergeCell ref="E1692:J1692"/>
    <mergeCell ref="E1698:H1698"/>
    <mergeCell ref="E1699:J1699"/>
    <mergeCell ref="E1700:H1700"/>
    <mergeCell ref="E1701:H1701"/>
    <mergeCell ref="E1702:H1702"/>
    <mergeCell ref="G1705:K1705"/>
    <mergeCell ref="G1706:K1706"/>
    <mergeCell ref="G1707:K1707"/>
    <mergeCell ref="G1708:K1708"/>
    <mergeCell ref="E1710:K1710"/>
    <mergeCell ref="E1731:H1731"/>
    <mergeCell ref="E1732:J1732"/>
    <mergeCell ref="E1738:H1738"/>
    <mergeCell ref="E1739:J1739"/>
    <mergeCell ref="E1745:H1745"/>
    <mergeCell ref="E1746:J1746"/>
    <mergeCell ref="E1747:H1747"/>
    <mergeCell ref="G1752:K1752"/>
    <mergeCell ref="G1753:K1753"/>
    <mergeCell ref="G1754:K1754"/>
    <mergeCell ref="G1755:K1755"/>
    <mergeCell ref="E1757:K1757"/>
    <mergeCell ref="E1749:H1749"/>
    <mergeCell ref="E1748:H1748"/>
    <mergeCell ref="E1778:H1778"/>
    <mergeCell ref="E1779:J1779"/>
    <mergeCell ref="E1785:H1785"/>
    <mergeCell ref="E1786:J1786"/>
    <mergeCell ref="G1802:K1802"/>
    <mergeCell ref="E1804:K1804"/>
    <mergeCell ref="E1825:H1825"/>
    <mergeCell ref="E1826:J1826"/>
    <mergeCell ref="E1832:H1832"/>
    <mergeCell ref="E1880:J1880"/>
    <mergeCell ref="E1886:H1886"/>
    <mergeCell ref="E1887:J1887"/>
    <mergeCell ref="E1888:H1888"/>
    <mergeCell ref="E1889:H1889"/>
    <mergeCell ref="E1890:H1890"/>
    <mergeCell ref="G1893:K1893"/>
    <mergeCell ref="G1894:K1894"/>
    <mergeCell ref="G1895:K1895"/>
    <mergeCell ref="G1896:K1896"/>
    <mergeCell ref="E1898:K1898"/>
    <mergeCell ref="E1919:H1919"/>
    <mergeCell ref="E1920:J1920"/>
    <mergeCell ref="E1926:H1926"/>
    <mergeCell ref="E1927:J1927"/>
    <mergeCell ref="E1933:H1933"/>
    <mergeCell ref="E1934:J1934"/>
    <mergeCell ref="E1935:H1935"/>
    <mergeCell ref="E1937:H1937"/>
    <mergeCell ref="G1940:K1940"/>
    <mergeCell ref="G1941:K1941"/>
    <mergeCell ref="G1942:K1942"/>
    <mergeCell ref="G1943:K1943"/>
    <mergeCell ref="E1945:K1945"/>
    <mergeCell ref="E1966:H1966"/>
    <mergeCell ref="E1967:J1967"/>
    <mergeCell ref="E1973:H1973"/>
    <mergeCell ref="E1974:J1974"/>
    <mergeCell ref="E1980:H1980"/>
    <mergeCell ref="E1981:J1981"/>
    <mergeCell ref="E1982:H1982"/>
    <mergeCell ref="E1983:H1983"/>
    <mergeCell ref="E1984:H1984"/>
    <mergeCell ref="G1987:K1987"/>
    <mergeCell ref="G1988:K1988"/>
    <mergeCell ref="G1989:K1989"/>
    <mergeCell ref="G1990:K1990"/>
    <mergeCell ref="E1992:K1992"/>
    <mergeCell ref="E2013:H2013"/>
    <mergeCell ref="E2014:J2014"/>
    <mergeCell ref="E2020:H2020"/>
    <mergeCell ref="E2021:J2021"/>
    <mergeCell ref="E2027:H2027"/>
    <mergeCell ref="E2028:J2028"/>
    <mergeCell ref="E2029:H2029"/>
    <mergeCell ref="E2067:H2067"/>
    <mergeCell ref="E2068:J2068"/>
    <mergeCell ref="E2074:H2074"/>
    <mergeCell ref="E2075:J2075"/>
    <mergeCell ref="E2076:H2076"/>
    <mergeCell ref="E2077:H2077"/>
    <mergeCell ref="E2030:H2030"/>
    <mergeCell ref="E2031:H2031"/>
    <mergeCell ref="G2034:K2034"/>
    <mergeCell ref="G2035:K2035"/>
    <mergeCell ref="G2036:K2036"/>
    <mergeCell ref="G2037:K2037"/>
    <mergeCell ref="E2039:K2039"/>
    <mergeCell ref="E2060:H2060"/>
    <mergeCell ref="E2061:J2061"/>
  </mergeCells>
  <phoneticPr fontId="18" type="noConversion"/>
  <conditionalFormatting sqref="J39 H19:K38 H41:J45 H48:J52">
    <cfRule type="cellIs" dxfId="1021" priority="2476" operator="equal">
      <formula>0</formula>
    </cfRule>
  </conditionalFormatting>
  <conditionalFormatting sqref="E19:G38">
    <cfRule type="cellIs" dxfId="1020" priority="2475" operator="equal">
      <formula>"-"</formula>
    </cfRule>
  </conditionalFormatting>
  <conditionalFormatting sqref="J53">
    <cfRule type="cellIs" dxfId="1019" priority="2472" operator="equal">
      <formula>0</formula>
    </cfRule>
  </conditionalFormatting>
  <conditionalFormatting sqref="J55:J57">
    <cfRule type="cellIs" dxfId="1018" priority="2471" operator="equal">
      <formula>0</formula>
    </cfRule>
  </conditionalFormatting>
  <conditionalFormatting sqref="E41:E45 G41:G45">
    <cfRule type="cellIs" dxfId="1017" priority="2469" operator="equal">
      <formula>"-"</formula>
    </cfRule>
  </conditionalFormatting>
  <conditionalFormatting sqref="E48:E52 G48:G52">
    <cfRule type="cellIs" dxfId="1016" priority="2467" operator="equal">
      <formula>"-"</formula>
    </cfRule>
  </conditionalFormatting>
  <conditionalFormatting sqref="K1968:K1972">
    <cfRule type="cellIs" dxfId="1015" priority="430" operator="equal">
      <formula>0</formula>
    </cfRule>
  </conditionalFormatting>
  <conditionalFormatting sqref="F41:F45">
    <cfRule type="cellIs" dxfId="1014" priority="1002" operator="equal">
      <formula>"-"</formula>
    </cfRule>
  </conditionalFormatting>
  <conditionalFormatting sqref="J46">
    <cfRule type="cellIs" dxfId="1013" priority="1000" operator="equal">
      <formula>0</formula>
    </cfRule>
  </conditionalFormatting>
  <conditionalFormatting sqref="K19:K38">
    <cfRule type="expression" dxfId="1012" priority="1009">
      <formula>$J$19:$J$38&gt;0</formula>
    </cfRule>
  </conditionalFormatting>
  <conditionalFormatting sqref="K41:K45">
    <cfRule type="cellIs" dxfId="1011" priority="1008" operator="equal">
      <formula>0</formula>
    </cfRule>
  </conditionalFormatting>
  <conditionalFormatting sqref="K41:K45">
    <cfRule type="expression" dxfId="1010" priority="1007">
      <formula>$J$19:$J$38&gt;0</formula>
    </cfRule>
  </conditionalFormatting>
  <conditionalFormatting sqref="K48:K52">
    <cfRule type="cellIs" dxfId="1009" priority="1005" operator="equal">
      <formula>0</formula>
    </cfRule>
  </conditionalFormatting>
  <conditionalFormatting sqref="K48:K52">
    <cfRule type="expression" dxfId="1008" priority="1004">
      <formula>$J$19:$J$38&gt;0</formula>
    </cfRule>
  </conditionalFormatting>
  <conditionalFormatting sqref="F48:F52">
    <cfRule type="cellIs" dxfId="1007" priority="1001" operator="equal">
      <formula>"-"</formula>
    </cfRule>
  </conditionalFormatting>
  <conditionalFormatting sqref="J93">
    <cfRule type="cellIs" dxfId="1006" priority="984" operator="equal">
      <formula>0</formula>
    </cfRule>
  </conditionalFormatting>
  <conditionalFormatting sqref="J2067">
    <cfRule type="cellIs" dxfId="1005" priority="396" operator="equal">
      <formula>0</formula>
    </cfRule>
  </conditionalFormatting>
  <conditionalFormatting sqref="J86 H66:K85 H88:J92 H95:J99">
    <cfRule type="cellIs" dxfId="1004" priority="997" operator="equal">
      <formula>0</formula>
    </cfRule>
  </conditionalFormatting>
  <conditionalFormatting sqref="E66:G85">
    <cfRule type="cellIs" dxfId="1003" priority="996" operator="equal">
      <formula>"-"</formula>
    </cfRule>
  </conditionalFormatting>
  <conditionalFormatting sqref="J100">
    <cfRule type="cellIs" dxfId="1002" priority="995" operator="equal">
      <formula>0</formula>
    </cfRule>
  </conditionalFormatting>
  <conditionalFormatting sqref="J102:J104">
    <cfRule type="cellIs" dxfId="1001" priority="994" operator="equal">
      <formula>0</formula>
    </cfRule>
  </conditionalFormatting>
  <conditionalFormatting sqref="E88:E92 G88:G92">
    <cfRule type="cellIs" dxfId="1000" priority="993" operator="equal">
      <formula>"-"</formula>
    </cfRule>
  </conditionalFormatting>
  <conditionalFormatting sqref="E95:E99 G95:G99">
    <cfRule type="cellIs" dxfId="999" priority="992" operator="equal">
      <formula>"-"</formula>
    </cfRule>
  </conditionalFormatting>
  <conditionalFormatting sqref="K66:K85">
    <cfRule type="expression" dxfId="998" priority="991">
      <formula>$J$19:$J$38&gt;0</formula>
    </cfRule>
  </conditionalFormatting>
  <conditionalFormatting sqref="K88:K92">
    <cfRule type="cellIs" dxfId="997" priority="990" operator="equal">
      <formula>0</formula>
    </cfRule>
  </conditionalFormatting>
  <conditionalFormatting sqref="K88:K92">
    <cfRule type="expression" dxfId="996" priority="989">
      <formula>$J$19:$J$38&gt;0</formula>
    </cfRule>
  </conditionalFormatting>
  <conditionalFormatting sqref="K95:K99">
    <cfRule type="cellIs" dxfId="995" priority="988" operator="equal">
      <formula>0</formula>
    </cfRule>
  </conditionalFormatting>
  <conditionalFormatting sqref="K95:K99">
    <cfRule type="expression" dxfId="994" priority="987">
      <formula>$J$19:$J$38&gt;0</formula>
    </cfRule>
  </conditionalFormatting>
  <conditionalFormatting sqref="F88:F92">
    <cfRule type="cellIs" dxfId="993" priority="986" operator="equal">
      <formula>"-"</formula>
    </cfRule>
  </conditionalFormatting>
  <conditionalFormatting sqref="F95:F99">
    <cfRule type="cellIs" dxfId="992" priority="985" operator="equal">
      <formula>"-"</formula>
    </cfRule>
  </conditionalFormatting>
  <conditionalFormatting sqref="J140">
    <cfRule type="cellIs" dxfId="991" priority="970" operator="equal">
      <formula>0</formula>
    </cfRule>
  </conditionalFormatting>
  <conditionalFormatting sqref="J133 H113:K132 H135:J139 H142:J146">
    <cfRule type="cellIs" dxfId="990" priority="983" operator="equal">
      <formula>0</formula>
    </cfRule>
  </conditionalFormatting>
  <conditionalFormatting sqref="E113:G132">
    <cfRule type="cellIs" dxfId="989" priority="982" operator="equal">
      <formula>"-"</formula>
    </cfRule>
  </conditionalFormatting>
  <conditionalFormatting sqref="J147">
    <cfRule type="cellIs" dxfId="988" priority="981" operator="equal">
      <formula>0</formula>
    </cfRule>
  </conditionalFormatting>
  <conditionalFormatting sqref="J149:J151">
    <cfRule type="cellIs" dxfId="987" priority="980" operator="equal">
      <formula>0</formula>
    </cfRule>
  </conditionalFormatting>
  <conditionalFormatting sqref="E135:E139 G135:G139">
    <cfRule type="cellIs" dxfId="986" priority="979" operator="equal">
      <formula>"-"</formula>
    </cfRule>
  </conditionalFormatting>
  <conditionalFormatting sqref="E142:E146 G142:G146">
    <cfRule type="cellIs" dxfId="985" priority="978" operator="equal">
      <formula>"-"</formula>
    </cfRule>
  </conditionalFormatting>
  <conditionalFormatting sqref="K113:K132">
    <cfRule type="expression" dxfId="984" priority="977">
      <formula>$J$19:$J$38&gt;0</formula>
    </cfRule>
  </conditionalFormatting>
  <conditionalFormatting sqref="K135:K139">
    <cfRule type="cellIs" dxfId="983" priority="976" operator="equal">
      <formula>0</formula>
    </cfRule>
  </conditionalFormatting>
  <conditionalFormatting sqref="K135:K139">
    <cfRule type="expression" dxfId="982" priority="975">
      <formula>$J$19:$J$38&gt;0</formula>
    </cfRule>
  </conditionalFormatting>
  <conditionalFormatting sqref="K142:K146">
    <cfRule type="cellIs" dxfId="981" priority="974" operator="equal">
      <formula>0</formula>
    </cfRule>
  </conditionalFormatting>
  <conditionalFormatting sqref="K142:K146">
    <cfRule type="expression" dxfId="980" priority="973">
      <formula>$J$19:$J$38&gt;0</formula>
    </cfRule>
  </conditionalFormatting>
  <conditionalFormatting sqref="F135:F139">
    <cfRule type="cellIs" dxfId="979" priority="972" operator="equal">
      <formula>"-"</formula>
    </cfRule>
  </conditionalFormatting>
  <conditionalFormatting sqref="F142:F146">
    <cfRule type="cellIs" dxfId="978" priority="971" operator="equal">
      <formula>"-"</formula>
    </cfRule>
  </conditionalFormatting>
  <conditionalFormatting sqref="J187">
    <cfRule type="cellIs" dxfId="977" priority="956" operator="equal">
      <formula>0</formula>
    </cfRule>
  </conditionalFormatting>
  <conditionalFormatting sqref="J180 H160:K179 H182:J186 H189:J193">
    <cfRule type="cellIs" dxfId="976" priority="969" operator="equal">
      <formula>0</formula>
    </cfRule>
  </conditionalFormatting>
  <conditionalFormatting sqref="E160:G179">
    <cfRule type="cellIs" dxfId="975" priority="968" operator="equal">
      <formula>"-"</formula>
    </cfRule>
  </conditionalFormatting>
  <conditionalFormatting sqref="J194">
    <cfRule type="cellIs" dxfId="974" priority="967" operator="equal">
      <formula>0</formula>
    </cfRule>
  </conditionalFormatting>
  <conditionalFormatting sqref="J196:J198">
    <cfRule type="cellIs" dxfId="973" priority="966" operator="equal">
      <formula>0</formula>
    </cfRule>
  </conditionalFormatting>
  <conditionalFormatting sqref="E182:E186 G182:G186">
    <cfRule type="cellIs" dxfId="972" priority="965" operator="equal">
      <formula>"-"</formula>
    </cfRule>
  </conditionalFormatting>
  <conditionalFormatting sqref="E189:E193 G189:G193">
    <cfRule type="cellIs" dxfId="971" priority="964" operator="equal">
      <formula>"-"</formula>
    </cfRule>
  </conditionalFormatting>
  <conditionalFormatting sqref="K160:K179">
    <cfRule type="expression" dxfId="970" priority="963">
      <formula>$J$19:$J$38&gt;0</formula>
    </cfRule>
  </conditionalFormatting>
  <conditionalFormatting sqref="K182:K186">
    <cfRule type="cellIs" dxfId="969" priority="962" operator="equal">
      <formula>0</formula>
    </cfRule>
  </conditionalFormatting>
  <conditionalFormatting sqref="K182:K186">
    <cfRule type="expression" dxfId="968" priority="961">
      <formula>$J$19:$J$38&gt;0</formula>
    </cfRule>
  </conditionalFormatting>
  <conditionalFormatting sqref="K189:K193">
    <cfRule type="cellIs" dxfId="967" priority="960" operator="equal">
      <formula>0</formula>
    </cfRule>
  </conditionalFormatting>
  <conditionalFormatting sqref="K189:K193">
    <cfRule type="expression" dxfId="966" priority="959">
      <formula>$J$19:$J$38&gt;0</formula>
    </cfRule>
  </conditionalFormatting>
  <conditionalFormatting sqref="F182:F186">
    <cfRule type="cellIs" dxfId="965" priority="958" operator="equal">
      <formula>"-"</formula>
    </cfRule>
  </conditionalFormatting>
  <conditionalFormatting sqref="F189:F193">
    <cfRule type="cellIs" dxfId="964" priority="957" operator="equal">
      <formula>"-"</formula>
    </cfRule>
  </conditionalFormatting>
  <conditionalFormatting sqref="J234">
    <cfRule type="cellIs" dxfId="963" priority="942" operator="equal">
      <formula>0</formula>
    </cfRule>
  </conditionalFormatting>
  <conditionalFormatting sqref="J227 H207:K226 H229:J233 H236:J240">
    <cfRule type="cellIs" dxfId="962" priority="955" operator="equal">
      <formula>0</formula>
    </cfRule>
  </conditionalFormatting>
  <conditionalFormatting sqref="E207:G226">
    <cfRule type="cellIs" dxfId="961" priority="954" operator="equal">
      <formula>"-"</formula>
    </cfRule>
  </conditionalFormatting>
  <conditionalFormatting sqref="J241">
    <cfRule type="cellIs" dxfId="960" priority="953" operator="equal">
      <formula>0</formula>
    </cfRule>
  </conditionalFormatting>
  <conditionalFormatting sqref="J243:J245">
    <cfRule type="cellIs" dxfId="959" priority="952" operator="equal">
      <formula>0</formula>
    </cfRule>
  </conditionalFormatting>
  <conditionalFormatting sqref="E229:E233 G229:G233">
    <cfRule type="cellIs" dxfId="958" priority="951" operator="equal">
      <formula>"-"</formula>
    </cfRule>
  </conditionalFormatting>
  <conditionalFormatting sqref="E236:E240 G236:G240">
    <cfRule type="cellIs" dxfId="957" priority="950" operator="equal">
      <formula>"-"</formula>
    </cfRule>
  </conditionalFormatting>
  <conditionalFormatting sqref="K207:K226">
    <cfRule type="expression" dxfId="956" priority="949">
      <formula>$J$19:$J$38&gt;0</formula>
    </cfRule>
  </conditionalFormatting>
  <conditionalFormatting sqref="K229:K233">
    <cfRule type="cellIs" dxfId="955" priority="948" operator="equal">
      <formula>0</formula>
    </cfRule>
  </conditionalFormatting>
  <conditionalFormatting sqref="K229:K233">
    <cfRule type="expression" dxfId="954" priority="947">
      <formula>$J$19:$J$38&gt;0</formula>
    </cfRule>
  </conditionalFormatting>
  <conditionalFormatting sqref="K236:K240">
    <cfRule type="cellIs" dxfId="953" priority="946" operator="equal">
      <formula>0</formula>
    </cfRule>
  </conditionalFormatting>
  <conditionalFormatting sqref="K236:K240">
    <cfRule type="expression" dxfId="952" priority="945">
      <formula>$J$19:$J$38&gt;0</formula>
    </cfRule>
  </conditionalFormatting>
  <conditionalFormatting sqref="F231:F233">
    <cfRule type="cellIs" dxfId="951" priority="944" operator="equal">
      <formula>"-"</formula>
    </cfRule>
  </conditionalFormatting>
  <conditionalFormatting sqref="F236:F240">
    <cfRule type="cellIs" dxfId="950" priority="943" operator="equal">
      <formula>"-"</formula>
    </cfRule>
  </conditionalFormatting>
  <conditionalFormatting sqref="J281">
    <cfRule type="cellIs" dxfId="949" priority="928" operator="equal">
      <formula>0</formula>
    </cfRule>
  </conditionalFormatting>
  <conditionalFormatting sqref="J274 H254:K273 H276:J280 H283:J287">
    <cfRule type="cellIs" dxfId="948" priority="941" operator="equal">
      <formula>0</formula>
    </cfRule>
  </conditionalFormatting>
  <conditionalFormatting sqref="E254:G273">
    <cfRule type="cellIs" dxfId="947" priority="940" operator="equal">
      <formula>"-"</formula>
    </cfRule>
  </conditionalFormatting>
  <conditionalFormatting sqref="J288">
    <cfRule type="cellIs" dxfId="946" priority="939" operator="equal">
      <formula>0</formula>
    </cfRule>
  </conditionalFormatting>
  <conditionalFormatting sqref="J290:J292">
    <cfRule type="cellIs" dxfId="945" priority="938" operator="equal">
      <formula>0</formula>
    </cfRule>
  </conditionalFormatting>
  <conditionalFormatting sqref="E276:E280 G276:G280">
    <cfRule type="cellIs" dxfId="944" priority="937" operator="equal">
      <formula>"-"</formula>
    </cfRule>
  </conditionalFormatting>
  <conditionalFormatting sqref="E283:E287 G283:G287">
    <cfRule type="cellIs" dxfId="943" priority="936" operator="equal">
      <formula>"-"</formula>
    </cfRule>
  </conditionalFormatting>
  <conditionalFormatting sqref="K254:K273">
    <cfRule type="expression" dxfId="942" priority="935">
      <formula>$J$19:$J$38&gt;0</formula>
    </cfRule>
  </conditionalFormatting>
  <conditionalFormatting sqref="K276:K280">
    <cfRule type="cellIs" dxfId="941" priority="934" operator="equal">
      <formula>0</formula>
    </cfRule>
  </conditionalFormatting>
  <conditionalFormatting sqref="K276:K280">
    <cfRule type="expression" dxfId="940" priority="933">
      <formula>$J$19:$J$38&gt;0</formula>
    </cfRule>
  </conditionalFormatting>
  <conditionalFormatting sqref="K283:K287">
    <cfRule type="cellIs" dxfId="939" priority="932" operator="equal">
      <formula>0</formula>
    </cfRule>
  </conditionalFormatting>
  <conditionalFormatting sqref="K283:K287">
    <cfRule type="expression" dxfId="938" priority="931">
      <formula>$J$19:$J$38&gt;0</formula>
    </cfRule>
  </conditionalFormatting>
  <conditionalFormatting sqref="F276:F280">
    <cfRule type="cellIs" dxfId="937" priority="930" operator="equal">
      <formula>"-"</formula>
    </cfRule>
  </conditionalFormatting>
  <conditionalFormatting sqref="F283:F287">
    <cfRule type="cellIs" dxfId="936" priority="929" operator="equal">
      <formula>"-"</formula>
    </cfRule>
  </conditionalFormatting>
  <conditionalFormatting sqref="J328">
    <cfRule type="cellIs" dxfId="935" priority="914" operator="equal">
      <formula>0</formula>
    </cfRule>
  </conditionalFormatting>
  <conditionalFormatting sqref="J321 H301:K320 H323:J327 H330:J334">
    <cfRule type="cellIs" dxfId="934" priority="927" operator="equal">
      <formula>0</formula>
    </cfRule>
  </conditionalFormatting>
  <conditionalFormatting sqref="E301:G320">
    <cfRule type="cellIs" dxfId="933" priority="926" operator="equal">
      <formula>"-"</formula>
    </cfRule>
  </conditionalFormatting>
  <conditionalFormatting sqref="J335">
    <cfRule type="cellIs" dxfId="932" priority="925" operator="equal">
      <formula>0</formula>
    </cfRule>
  </conditionalFormatting>
  <conditionalFormatting sqref="J337:J339">
    <cfRule type="cellIs" dxfId="931" priority="924" operator="equal">
      <formula>0</formula>
    </cfRule>
  </conditionalFormatting>
  <conditionalFormatting sqref="E323:E327 G323:G327">
    <cfRule type="cellIs" dxfId="930" priority="923" operator="equal">
      <formula>"-"</formula>
    </cfRule>
  </conditionalFormatting>
  <conditionalFormatting sqref="E330:E334 G330:G334">
    <cfRule type="cellIs" dxfId="929" priority="922" operator="equal">
      <formula>"-"</formula>
    </cfRule>
  </conditionalFormatting>
  <conditionalFormatting sqref="K301:K320">
    <cfRule type="expression" dxfId="928" priority="921">
      <formula>$J$19:$J$38&gt;0</formula>
    </cfRule>
  </conditionalFormatting>
  <conditionalFormatting sqref="K323:K327">
    <cfRule type="cellIs" dxfId="927" priority="920" operator="equal">
      <formula>0</formula>
    </cfRule>
  </conditionalFormatting>
  <conditionalFormatting sqref="K323:K327">
    <cfRule type="expression" dxfId="926" priority="919">
      <formula>$J$19:$J$38&gt;0</formula>
    </cfRule>
  </conditionalFormatting>
  <conditionalFormatting sqref="K330:K334">
    <cfRule type="cellIs" dxfId="925" priority="918" operator="equal">
      <formula>0</formula>
    </cfRule>
  </conditionalFormatting>
  <conditionalFormatting sqref="K330:K334">
    <cfRule type="expression" dxfId="924" priority="917">
      <formula>$J$19:$J$38&gt;0</formula>
    </cfRule>
  </conditionalFormatting>
  <conditionalFormatting sqref="F323:F327">
    <cfRule type="cellIs" dxfId="923" priority="916" operator="equal">
      <formula>"-"</formula>
    </cfRule>
  </conditionalFormatting>
  <conditionalFormatting sqref="F330:F334">
    <cfRule type="cellIs" dxfId="922" priority="915" operator="equal">
      <formula>"-"</formula>
    </cfRule>
  </conditionalFormatting>
  <conditionalFormatting sqref="J375">
    <cfRule type="cellIs" dxfId="921" priority="900" operator="equal">
      <formula>0</formula>
    </cfRule>
  </conditionalFormatting>
  <conditionalFormatting sqref="J368 H348:K367 H370:J374 H377:J381">
    <cfRule type="cellIs" dxfId="920" priority="913" operator="equal">
      <formula>0</formula>
    </cfRule>
  </conditionalFormatting>
  <conditionalFormatting sqref="E348:G367">
    <cfRule type="cellIs" dxfId="919" priority="912" operator="equal">
      <formula>"-"</formula>
    </cfRule>
  </conditionalFormatting>
  <conditionalFormatting sqref="J382">
    <cfRule type="cellIs" dxfId="918" priority="911" operator="equal">
      <formula>0</formula>
    </cfRule>
  </conditionalFormatting>
  <conditionalFormatting sqref="J384:J386">
    <cfRule type="cellIs" dxfId="917" priority="910" operator="equal">
      <formula>0</formula>
    </cfRule>
  </conditionalFormatting>
  <conditionalFormatting sqref="E370:E374 G370:G374">
    <cfRule type="cellIs" dxfId="916" priority="909" operator="equal">
      <formula>"-"</formula>
    </cfRule>
  </conditionalFormatting>
  <conditionalFormatting sqref="E377:E381 G377:G381">
    <cfRule type="cellIs" dxfId="915" priority="908" operator="equal">
      <formula>"-"</formula>
    </cfRule>
  </conditionalFormatting>
  <conditionalFormatting sqref="K348:K367">
    <cfRule type="expression" dxfId="914" priority="907">
      <formula>$J$19:$J$38&gt;0</formula>
    </cfRule>
  </conditionalFormatting>
  <conditionalFormatting sqref="K370:K374">
    <cfRule type="cellIs" dxfId="913" priority="906" operator="equal">
      <formula>0</formula>
    </cfRule>
  </conditionalFormatting>
  <conditionalFormatting sqref="K370:K374">
    <cfRule type="expression" dxfId="912" priority="905">
      <formula>$J$19:$J$38&gt;0</formula>
    </cfRule>
  </conditionalFormatting>
  <conditionalFormatting sqref="K377:K381">
    <cfRule type="cellIs" dxfId="911" priority="904" operator="equal">
      <formula>0</formula>
    </cfRule>
  </conditionalFormatting>
  <conditionalFormatting sqref="K377:K381">
    <cfRule type="expression" dxfId="910" priority="903">
      <formula>$J$19:$J$38&gt;0</formula>
    </cfRule>
  </conditionalFormatting>
  <conditionalFormatting sqref="F374">
    <cfRule type="cellIs" dxfId="909" priority="902" operator="equal">
      <formula>"-"</formula>
    </cfRule>
  </conditionalFormatting>
  <conditionalFormatting sqref="F377:F381">
    <cfRule type="cellIs" dxfId="908" priority="901" operator="equal">
      <formula>"-"</formula>
    </cfRule>
  </conditionalFormatting>
  <conditionalFormatting sqref="J422">
    <cfRule type="cellIs" dxfId="907" priority="886" operator="equal">
      <formula>0</formula>
    </cfRule>
  </conditionalFormatting>
  <conditionalFormatting sqref="J415 H395:K414 H417:J421 H424:J428">
    <cfRule type="cellIs" dxfId="906" priority="899" operator="equal">
      <formula>0</formula>
    </cfRule>
  </conditionalFormatting>
  <conditionalFormatting sqref="E395:G414">
    <cfRule type="cellIs" dxfId="905" priority="898" operator="equal">
      <formula>"-"</formula>
    </cfRule>
  </conditionalFormatting>
  <conditionalFormatting sqref="J429">
    <cfRule type="cellIs" dxfId="904" priority="897" operator="equal">
      <formula>0</formula>
    </cfRule>
  </conditionalFormatting>
  <conditionalFormatting sqref="J431:J433">
    <cfRule type="cellIs" dxfId="903" priority="896" operator="equal">
      <formula>0</formula>
    </cfRule>
  </conditionalFormatting>
  <conditionalFormatting sqref="E417:E421 G417:G421">
    <cfRule type="cellIs" dxfId="902" priority="895" operator="equal">
      <formula>"-"</formula>
    </cfRule>
  </conditionalFormatting>
  <conditionalFormatting sqref="E424:E428 G424:G428">
    <cfRule type="cellIs" dxfId="901" priority="894" operator="equal">
      <formula>"-"</formula>
    </cfRule>
  </conditionalFormatting>
  <conditionalFormatting sqref="K395:K414">
    <cfRule type="expression" dxfId="900" priority="893">
      <formula>$J$19:$J$38&gt;0</formula>
    </cfRule>
  </conditionalFormatting>
  <conditionalFormatting sqref="K417:K421">
    <cfRule type="cellIs" dxfId="899" priority="892" operator="equal">
      <formula>0</formula>
    </cfRule>
  </conditionalFormatting>
  <conditionalFormatting sqref="K417:K421">
    <cfRule type="expression" dxfId="898" priority="891">
      <formula>$J$19:$J$38&gt;0</formula>
    </cfRule>
  </conditionalFormatting>
  <conditionalFormatting sqref="K424:K428">
    <cfRule type="cellIs" dxfId="897" priority="890" operator="equal">
      <formula>0</formula>
    </cfRule>
  </conditionalFormatting>
  <conditionalFormatting sqref="K424:K428">
    <cfRule type="expression" dxfId="896" priority="889">
      <formula>$J$19:$J$38&gt;0</formula>
    </cfRule>
  </conditionalFormatting>
  <conditionalFormatting sqref="F421">
    <cfRule type="cellIs" dxfId="895" priority="888" operator="equal">
      <formula>"-"</formula>
    </cfRule>
  </conditionalFormatting>
  <conditionalFormatting sqref="F424:F428">
    <cfRule type="cellIs" dxfId="894" priority="887" operator="equal">
      <formula>"-"</formula>
    </cfRule>
  </conditionalFormatting>
  <conditionalFormatting sqref="J469">
    <cfRule type="cellIs" dxfId="893" priority="872" operator="equal">
      <formula>0</formula>
    </cfRule>
  </conditionalFormatting>
  <conditionalFormatting sqref="J462 H442:K461 H464:J468 H471:J475">
    <cfRule type="cellIs" dxfId="892" priority="885" operator="equal">
      <formula>0</formula>
    </cfRule>
  </conditionalFormatting>
  <conditionalFormatting sqref="E442:G461">
    <cfRule type="cellIs" dxfId="891" priority="884" operator="equal">
      <formula>"-"</formula>
    </cfRule>
  </conditionalFormatting>
  <conditionalFormatting sqref="J476">
    <cfRule type="cellIs" dxfId="890" priority="883" operator="equal">
      <formula>0</formula>
    </cfRule>
  </conditionalFormatting>
  <conditionalFormatting sqref="J478:J480">
    <cfRule type="cellIs" dxfId="889" priority="882" operator="equal">
      <formula>0</formula>
    </cfRule>
  </conditionalFormatting>
  <conditionalFormatting sqref="E464:E468 G464:G468">
    <cfRule type="cellIs" dxfId="888" priority="881" operator="equal">
      <formula>"-"</formula>
    </cfRule>
  </conditionalFormatting>
  <conditionalFormatting sqref="E471:E475 G471:G475">
    <cfRule type="cellIs" dxfId="887" priority="880" operator="equal">
      <formula>"-"</formula>
    </cfRule>
  </conditionalFormatting>
  <conditionalFormatting sqref="K442:K461">
    <cfRule type="expression" dxfId="886" priority="879">
      <formula>$J$19:$J$38&gt;0</formula>
    </cfRule>
  </conditionalFormatting>
  <conditionalFormatting sqref="K464:K468">
    <cfRule type="cellIs" dxfId="885" priority="878" operator="equal">
      <formula>0</formula>
    </cfRule>
  </conditionalFormatting>
  <conditionalFormatting sqref="K464:K468">
    <cfRule type="expression" dxfId="884" priority="877">
      <formula>$J$19:$J$38&gt;0</formula>
    </cfRule>
  </conditionalFormatting>
  <conditionalFormatting sqref="K471:K475">
    <cfRule type="cellIs" dxfId="883" priority="876" operator="equal">
      <formula>0</formula>
    </cfRule>
  </conditionalFormatting>
  <conditionalFormatting sqref="K471:K475">
    <cfRule type="expression" dxfId="882" priority="875">
      <formula>$J$19:$J$38&gt;0</formula>
    </cfRule>
  </conditionalFormatting>
  <conditionalFormatting sqref="F468">
    <cfRule type="cellIs" dxfId="881" priority="874" operator="equal">
      <formula>"-"</formula>
    </cfRule>
  </conditionalFormatting>
  <conditionalFormatting sqref="F471:F475">
    <cfRule type="cellIs" dxfId="880" priority="873" operator="equal">
      <formula>"-"</formula>
    </cfRule>
  </conditionalFormatting>
  <conditionalFormatting sqref="J516">
    <cfRule type="cellIs" dxfId="879" priority="858" operator="equal">
      <formula>0</formula>
    </cfRule>
  </conditionalFormatting>
  <conditionalFormatting sqref="J509 H489:K508 H511:J515 H518:J522">
    <cfRule type="cellIs" dxfId="878" priority="871" operator="equal">
      <formula>0</formula>
    </cfRule>
  </conditionalFormatting>
  <conditionalFormatting sqref="E489:G508">
    <cfRule type="cellIs" dxfId="877" priority="870" operator="equal">
      <formula>"-"</formula>
    </cfRule>
  </conditionalFormatting>
  <conditionalFormatting sqref="J523">
    <cfRule type="cellIs" dxfId="876" priority="869" operator="equal">
      <formula>0</formula>
    </cfRule>
  </conditionalFormatting>
  <conditionalFormatting sqref="J525:J527">
    <cfRule type="cellIs" dxfId="875" priority="868" operator="equal">
      <formula>0</formula>
    </cfRule>
  </conditionalFormatting>
  <conditionalFormatting sqref="E511:E515 G511:G515">
    <cfRule type="cellIs" dxfId="874" priority="867" operator="equal">
      <formula>"-"</formula>
    </cfRule>
  </conditionalFormatting>
  <conditionalFormatting sqref="E518:E522 G518:G522">
    <cfRule type="cellIs" dxfId="873" priority="866" operator="equal">
      <formula>"-"</formula>
    </cfRule>
  </conditionalFormatting>
  <conditionalFormatting sqref="K489:K508">
    <cfRule type="expression" dxfId="872" priority="865">
      <formula>$J$19:$J$38&gt;0</formula>
    </cfRule>
  </conditionalFormatting>
  <conditionalFormatting sqref="K511:K515">
    <cfRule type="cellIs" dxfId="871" priority="864" operator="equal">
      <formula>0</formula>
    </cfRule>
  </conditionalFormatting>
  <conditionalFormatting sqref="K511:K515">
    <cfRule type="expression" dxfId="870" priority="863">
      <formula>$J$19:$J$38&gt;0</formula>
    </cfRule>
  </conditionalFormatting>
  <conditionalFormatting sqref="K518:K522">
    <cfRule type="cellIs" dxfId="869" priority="862" operator="equal">
      <formula>0</formula>
    </cfRule>
  </conditionalFormatting>
  <conditionalFormatting sqref="K518:K522">
    <cfRule type="expression" dxfId="868" priority="861">
      <formula>$J$19:$J$38&gt;0</formula>
    </cfRule>
  </conditionalFormatting>
  <conditionalFormatting sqref="F515">
    <cfRule type="cellIs" dxfId="867" priority="860" operator="equal">
      <formula>"-"</formula>
    </cfRule>
  </conditionalFormatting>
  <conditionalFormatting sqref="F518:F522">
    <cfRule type="cellIs" dxfId="866" priority="859" operator="equal">
      <formula>"-"</formula>
    </cfRule>
  </conditionalFormatting>
  <conditionalFormatting sqref="J563">
    <cfRule type="cellIs" dxfId="865" priority="844" operator="equal">
      <formula>0</formula>
    </cfRule>
  </conditionalFormatting>
  <conditionalFormatting sqref="J556 H536:K555 H558:J562 H565:J569">
    <cfRule type="cellIs" dxfId="864" priority="857" operator="equal">
      <formula>0</formula>
    </cfRule>
  </conditionalFormatting>
  <conditionalFormatting sqref="E544:G555 E536:E543 G536:G543">
    <cfRule type="cellIs" dxfId="863" priority="856" operator="equal">
      <formula>"-"</formula>
    </cfRule>
  </conditionalFormatting>
  <conditionalFormatting sqref="J570">
    <cfRule type="cellIs" dxfId="862" priority="855" operator="equal">
      <formula>0</formula>
    </cfRule>
  </conditionalFormatting>
  <conditionalFormatting sqref="J572:J574">
    <cfRule type="cellIs" dxfId="861" priority="854" operator="equal">
      <formula>0</formula>
    </cfRule>
  </conditionalFormatting>
  <conditionalFormatting sqref="E558:E562 G558:G562">
    <cfRule type="cellIs" dxfId="860" priority="853" operator="equal">
      <formula>"-"</formula>
    </cfRule>
  </conditionalFormatting>
  <conditionalFormatting sqref="E565:E569 G565:G569">
    <cfRule type="cellIs" dxfId="859" priority="852" operator="equal">
      <formula>"-"</formula>
    </cfRule>
  </conditionalFormatting>
  <conditionalFormatting sqref="K536:K555">
    <cfRule type="expression" dxfId="858" priority="851">
      <formula>$J$19:$J$38&gt;0</formula>
    </cfRule>
  </conditionalFormatting>
  <conditionalFormatting sqref="K558:K562">
    <cfRule type="cellIs" dxfId="857" priority="850" operator="equal">
      <formula>0</formula>
    </cfRule>
  </conditionalFormatting>
  <conditionalFormatting sqref="K558:K562">
    <cfRule type="expression" dxfId="856" priority="849">
      <formula>$J$19:$J$38&gt;0</formula>
    </cfRule>
  </conditionalFormatting>
  <conditionalFormatting sqref="K565:K569">
    <cfRule type="cellIs" dxfId="855" priority="848" operator="equal">
      <formula>0</formula>
    </cfRule>
  </conditionalFormatting>
  <conditionalFormatting sqref="K565:K569">
    <cfRule type="expression" dxfId="854" priority="847">
      <formula>$J$19:$J$38&gt;0</formula>
    </cfRule>
  </conditionalFormatting>
  <conditionalFormatting sqref="F562">
    <cfRule type="cellIs" dxfId="853" priority="846" operator="equal">
      <formula>"-"</formula>
    </cfRule>
  </conditionalFormatting>
  <conditionalFormatting sqref="F565:F569">
    <cfRule type="cellIs" dxfId="852" priority="845" operator="equal">
      <formula>"-"</formula>
    </cfRule>
  </conditionalFormatting>
  <conditionalFormatting sqref="J610">
    <cfRule type="cellIs" dxfId="851" priority="830" operator="equal">
      <formula>0</formula>
    </cfRule>
  </conditionalFormatting>
  <conditionalFormatting sqref="J603 H583:K602 H605:J609 H612:J616">
    <cfRule type="cellIs" dxfId="850" priority="843" operator="equal">
      <formula>0</formula>
    </cfRule>
  </conditionalFormatting>
  <conditionalFormatting sqref="E591:G602 E583:E590 G583:G590">
    <cfRule type="cellIs" dxfId="849" priority="842" operator="equal">
      <formula>"-"</formula>
    </cfRule>
  </conditionalFormatting>
  <conditionalFormatting sqref="J617">
    <cfRule type="cellIs" dxfId="848" priority="841" operator="equal">
      <formula>0</formula>
    </cfRule>
  </conditionalFormatting>
  <conditionalFormatting sqref="J619:J621">
    <cfRule type="cellIs" dxfId="847" priority="840" operator="equal">
      <formula>0</formula>
    </cfRule>
  </conditionalFormatting>
  <conditionalFormatting sqref="E605:E609 G605:G609">
    <cfRule type="cellIs" dxfId="846" priority="839" operator="equal">
      <formula>"-"</formula>
    </cfRule>
  </conditionalFormatting>
  <conditionalFormatting sqref="E612:E616 G612:G616">
    <cfRule type="cellIs" dxfId="845" priority="838" operator="equal">
      <formula>"-"</formula>
    </cfRule>
  </conditionalFormatting>
  <conditionalFormatting sqref="K583:K602">
    <cfRule type="expression" dxfId="844" priority="837">
      <formula>$J$19:$J$38&gt;0</formula>
    </cfRule>
  </conditionalFormatting>
  <conditionalFormatting sqref="K605:K609">
    <cfRule type="cellIs" dxfId="843" priority="836" operator="equal">
      <formula>0</formula>
    </cfRule>
  </conditionalFormatting>
  <conditionalFormatting sqref="K605:K609">
    <cfRule type="expression" dxfId="842" priority="835">
      <formula>$J$19:$J$38&gt;0</formula>
    </cfRule>
  </conditionalFormatting>
  <conditionalFormatting sqref="K612:K616">
    <cfRule type="cellIs" dxfId="841" priority="834" operator="equal">
      <formula>0</formula>
    </cfRule>
  </conditionalFormatting>
  <conditionalFormatting sqref="K612:K616">
    <cfRule type="expression" dxfId="840" priority="833">
      <formula>$J$19:$J$38&gt;0</formula>
    </cfRule>
  </conditionalFormatting>
  <conditionalFormatting sqref="F609">
    <cfRule type="cellIs" dxfId="839" priority="832" operator="equal">
      <formula>"-"</formula>
    </cfRule>
  </conditionalFormatting>
  <conditionalFormatting sqref="F612:F616">
    <cfRule type="cellIs" dxfId="838" priority="831" operator="equal">
      <formula>"-"</formula>
    </cfRule>
  </conditionalFormatting>
  <conditionalFormatting sqref="J657">
    <cfRule type="cellIs" dxfId="837" priority="816" operator="equal">
      <formula>0</formula>
    </cfRule>
  </conditionalFormatting>
  <conditionalFormatting sqref="J650 H630:K649 H652:J656 H659:J663">
    <cfRule type="cellIs" dxfId="836" priority="829" operator="equal">
      <formula>0</formula>
    </cfRule>
  </conditionalFormatting>
  <conditionalFormatting sqref="E637:G649 E630:E636 G630:G636">
    <cfRule type="cellIs" dxfId="835" priority="828" operator="equal">
      <formula>"-"</formula>
    </cfRule>
  </conditionalFormatting>
  <conditionalFormatting sqref="J664">
    <cfRule type="cellIs" dxfId="834" priority="827" operator="equal">
      <formula>0</formula>
    </cfRule>
  </conditionalFormatting>
  <conditionalFormatting sqref="J666:J668">
    <cfRule type="cellIs" dxfId="833" priority="826" operator="equal">
      <formula>0</formula>
    </cfRule>
  </conditionalFormatting>
  <conditionalFormatting sqref="E652:E656 G652:G656">
    <cfRule type="cellIs" dxfId="832" priority="825" operator="equal">
      <formula>"-"</formula>
    </cfRule>
  </conditionalFormatting>
  <conditionalFormatting sqref="E659:E663 G659:G663">
    <cfRule type="cellIs" dxfId="831" priority="824" operator="equal">
      <formula>"-"</formula>
    </cfRule>
  </conditionalFormatting>
  <conditionalFormatting sqref="K630:K649">
    <cfRule type="expression" dxfId="830" priority="823">
      <formula>$J$19:$J$38&gt;0</formula>
    </cfRule>
  </conditionalFormatting>
  <conditionalFormatting sqref="K652:K656">
    <cfRule type="cellIs" dxfId="829" priority="822" operator="equal">
      <formula>0</formula>
    </cfRule>
  </conditionalFormatting>
  <conditionalFormatting sqref="K652:K656">
    <cfRule type="expression" dxfId="828" priority="821">
      <formula>$J$19:$J$38&gt;0</formula>
    </cfRule>
  </conditionalFormatting>
  <conditionalFormatting sqref="K659:K663">
    <cfRule type="cellIs" dxfId="827" priority="820" operator="equal">
      <formula>0</formula>
    </cfRule>
  </conditionalFormatting>
  <conditionalFormatting sqref="K659:K663">
    <cfRule type="expression" dxfId="826" priority="819">
      <formula>$J$19:$J$38&gt;0</formula>
    </cfRule>
  </conditionalFormatting>
  <conditionalFormatting sqref="F656">
    <cfRule type="cellIs" dxfId="825" priority="818" operator="equal">
      <formula>"-"</formula>
    </cfRule>
  </conditionalFormatting>
  <conditionalFormatting sqref="F659:F663">
    <cfRule type="cellIs" dxfId="824" priority="817" operator="equal">
      <formula>"-"</formula>
    </cfRule>
  </conditionalFormatting>
  <conditionalFormatting sqref="J704">
    <cfRule type="cellIs" dxfId="823" priority="802" operator="equal">
      <formula>0</formula>
    </cfRule>
  </conditionalFormatting>
  <conditionalFormatting sqref="J697 H677:K696 H699:J703 H706:J710">
    <cfRule type="cellIs" dxfId="822" priority="815" operator="equal">
      <formula>0</formula>
    </cfRule>
  </conditionalFormatting>
  <conditionalFormatting sqref="E677:G677 E682:G696 E678:E681 G678:G681">
    <cfRule type="cellIs" dxfId="821" priority="814" operator="equal">
      <formula>"-"</formula>
    </cfRule>
  </conditionalFormatting>
  <conditionalFormatting sqref="J711">
    <cfRule type="cellIs" dxfId="820" priority="813" operator="equal">
      <formula>0</formula>
    </cfRule>
  </conditionalFormatting>
  <conditionalFormatting sqref="J713:J715">
    <cfRule type="cellIs" dxfId="819" priority="812" operator="equal">
      <formula>0</formula>
    </cfRule>
  </conditionalFormatting>
  <conditionalFormatting sqref="E699:E703 G699:G703">
    <cfRule type="cellIs" dxfId="818" priority="811" operator="equal">
      <formula>"-"</formula>
    </cfRule>
  </conditionalFormatting>
  <conditionalFormatting sqref="E706:E710 G706:G710">
    <cfRule type="cellIs" dxfId="817" priority="810" operator="equal">
      <formula>"-"</formula>
    </cfRule>
  </conditionalFormatting>
  <conditionalFormatting sqref="K677:K696">
    <cfRule type="expression" dxfId="816" priority="809">
      <formula>$J$19:$J$38&gt;0</formula>
    </cfRule>
  </conditionalFormatting>
  <conditionalFormatting sqref="K699:K703">
    <cfRule type="cellIs" dxfId="815" priority="808" operator="equal">
      <formula>0</formula>
    </cfRule>
  </conditionalFormatting>
  <conditionalFormatting sqref="K699:K703">
    <cfRule type="expression" dxfId="814" priority="807">
      <formula>$J$19:$J$38&gt;0</formula>
    </cfRule>
  </conditionalFormatting>
  <conditionalFormatting sqref="K706:K710">
    <cfRule type="cellIs" dxfId="813" priority="806" operator="equal">
      <formula>0</formula>
    </cfRule>
  </conditionalFormatting>
  <conditionalFormatting sqref="K706:K710">
    <cfRule type="expression" dxfId="812" priority="805">
      <formula>$J$19:$J$38&gt;0</formula>
    </cfRule>
  </conditionalFormatting>
  <conditionalFormatting sqref="F703">
    <cfRule type="cellIs" dxfId="811" priority="804" operator="equal">
      <formula>"-"</formula>
    </cfRule>
  </conditionalFormatting>
  <conditionalFormatting sqref="F706:F710">
    <cfRule type="cellIs" dxfId="810" priority="803" operator="equal">
      <formula>"-"</formula>
    </cfRule>
  </conditionalFormatting>
  <conditionalFormatting sqref="J751">
    <cfRule type="cellIs" dxfId="809" priority="788" operator="equal">
      <formula>0</formula>
    </cfRule>
  </conditionalFormatting>
  <conditionalFormatting sqref="J744 H724:K743 H746:J750 H753:J757">
    <cfRule type="cellIs" dxfId="808" priority="801" operator="equal">
      <formula>0</formula>
    </cfRule>
  </conditionalFormatting>
  <conditionalFormatting sqref="E731:G743 E724:E730 G724:G730">
    <cfRule type="cellIs" dxfId="807" priority="800" operator="equal">
      <formula>"-"</formula>
    </cfRule>
  </conditionalFormatting>
  <conditionalFormatting sqref="J758">
    <cfRule type="cellIs" dxfId="806" priority="799" operator="equal">
      <formula>0</formula>
    </cfRule>
  </conditionalFormatting>
  <conditionalFormatting sqref="J760:J762">
    <cfRule type="cellIs" dxfId="805" priority="798" operator="equal">
      <formula>0</formula>
    </cfRule>
  </conditionalFormatting>
  <conditionalFormatting sqref="E746:E750 G746:G750">
    <cfRule type="cellIs" dxfId="804" priority="797" operator="equal">
      <formula>"-"</formula>
    </cfRule>
  </conditionalFormatting>
  <conditionalFormatting sqref="E753:E757 G753:G757">
    <cfRule type="cellIs" dxfId="803" priority="796" operator="equal">
      <formula>"-"</formula>
    </cfRule>
  </conditionalFormatting>
  <conditionalFormatting sqref="K724:K743">
    <cfRule type="expression" dxfId="802" priority="795">
      <formula>$J$19:$J$38&gt;0</formula>
    </cfRule>
  </conditionalFormatting>
  <conditionalFormatting sqref="K746:K750">
    <cfRule type="cellIs" dxfId="801" priority="794" operator="equal">
      <formula>0</formula>
    </cfRule>
  </conditionalFormatting>
  <conditionalFormatting sqref="K746:K750">
    <cfRule type="expression" dxfId="800" priority="793">
      <formula>$J$19:$J$38&gt;0</formula>
    </cfRule>
  </conditionalFormatting>
  <conditionalFormatting sqref="K753:K757">
    <cfRule type="cellIs" dxfId="799" priority="792" operator="equal">
      <formula>0</formula>
    </cfRule>
  </conditionalFormatting>
  <conditionalFormatting sqref="K753:K757">
    <cfRule type="expression" dxfId="798" priority="791">
      <formula>$J$19:$J$38&gt;0</formula>
    </cfRule>
  </conditionalFormatting>
  <conditionalFormatting sqref="F750">
    <cfRule type="cellIs" dxfId="797" priority="790" operator="equal">
      <formula>"-"</formula>
    </cfRule>
  </conditionalFormatting>
  <conditionalFormatting sqref="F753:F757">
    <cfRule type="cellIs" dxfId="796" priority="789" operator="equal">
      <formula>"-"</formula>
    </cfRule>
  </conditionalFormatting>
  <conditionalFormatting sqref="J798">
    <cfRule type="cellIs" dxfId="795" priority="774" operator="equal">
      <formula>0</formula>
    </cfRule>
  </conditionalFormatting>
  <conditionalFormatting sqref="J791 H771:K790 H793:J797 H800:J804">
    <cfRule type="cellIs" dxfId="794" priority="787" operator="equal">
      <formula>0</formula>
    </cfRule>
  </conditionalFormatting>
  <conditionalFormatting sqref="E776:G790 E771:E775 G771:G775">
    <cfRule type="cellIs" dxfId="793" priority="786" operator="equal">
      <formula>"-"</formula>
    </cfRule>
  </conditionalFormatting>
  <conditionalFormatting sqref="J805">
    <cfRule type="cellIs" dxfId="792" priority="785" operator="equal">
      <formula>0</formula>
    </cfRule>
  </conditionalFormatting>
  <conditionalFormatting sqref="J807:J809">
    <cfRule type="cellIs" dxfId="791" priority="784" operator="equal">
      <formula>0</formula>
    </cfRule>
  </conditionalFormatting>
  <conditionalFormatting sqref="E793:E797 G793:G797">
    <cfRule type="cellIs" dxfId="790" priority="783" operator="equal">
      <formula>"-"</formula>
    </cfRule>
  </conditionalFormatting>
  <conditionalFormatting sqref="E800:E804 G800:G804">
    <cfRule type="cellIs" dxfId="789" priority="782" operator="equal">
      <formula>"-"</formula>
    </cfRule>
  </conditionalFormatting>
  <conditionalFormatting sqref="K771:K790">
    <cfRule type="expression" dxfId="788" priority="781">
      <formula>$J$19:$J$38&gt;0</formula>
    </cfRule>
  </conditionalFormatting>
  <conditionalFormatting sqref="K793:K797">
    <cfRule type="cellIs" dxfId="787" priority="780" operator="equal">
      <formula>0</formula>
    </cfRule>
  </conditionalFormatting>
  <conditionalFormatting sqref="K793:K797">
    <cfRule type="expression" dxfId="786" priority="779">
      <formula>$J$19:$J$38&gt;0</formula>
    </cfRule>
  </conditionalFormatting>
  <conditionalFormatting sqref="K800:K804">
    <cfRule type="cellIs" dxfId="785" priority="778" operator="equal">
      <formula>0</formula>
    </cfRule>
  </conditionalFormatting>
  <conditionalFormatting sqref="K800:K804">
    <cfRule type="expression" dxfId="784" priority="777">
      <formula>$J$19:$J$38&gt;0</formula>
    </cfRule>
  </conditionalFormatting>
  <conditionalFormatting sqref="F797">
    <cfRule type="cellIs" dxfId="783" priority="776" operator="equal">
      <formula>"-"</formula>
    </cfRule>
  </conditionalFormatting>
  <conditionalFormatting sqref="F800:F804">
    <cfRule type="cellIs" dxfId="782" priority="775" operator="equal">
      <formula>"-"</formula>
    </cfRule>
  </conditionalFormatting>
  <conditionalFormatting sqref="J845">
    <cfRule type="cellIs" dxfId="781" priority="760" operator="equal">
      <formula>0</formula>
    </cfRule>
  </conditionalFormatting>
  <conditionalFormatting sqref="J838 H818:K837 H840:J844 H847:J851">
    <cfRule type="cellIs" dxfId="780" priority="773" operator="equal">
      <formula>0</formula>
    </cfRule>
  </conditionalFormatting>
  <conditionalFormatting sqref="E823:G837 E818:E822 G818:G822">
    <cfRule type="cellIs" dxfId="779" priority="772" operator="equal">
      <formula>"-"</formula>
    </cfRule>
  </conditionalFormatting>
  <conditionalFormatting sqref="J852">
    <cfRule type="cellIs" dxfId="778" priority="771" operator="equal">
      <formula>0</formula>
    </cfRule>
  </conditionalFormatting>
  <conditionalFormatting sqref="J854:J856">
    <cfRule type="cellIs" dxfId="777" priority="770" operator="equal">
      <formula>0</formula>
    </cfRule>
  </conditionalFormatting>
  <conditionalFormatting sqref="E840:E844 G840:G844">
    <cfRule type="cellIs" dxfId="776" priority="769" operator="equal">
      <formula>"-"</formula>
    </cfRule>
  </conditionalFormatting>
  <conditionalFormatting sqref="E847:E851 G847:G851">
    <cfRule type="cellIs" dxfId="775" priority="768" operator="equal">
      <formula>"-"</formula>
    </cfRule>
  </conditionalFormatting>
  <conditionalFormatting sqref="K818:K837">
    <cfRule type="expression" dxfId="774" priority="767">
      <formula>$J$19:$J$38&gt;0</formula>
    </cfRule>
  </conditionalFormatting>
  <conditionalFormatting sqref="K840:K844">
    <cfRule type="cellIs" dxfId="773" priority="766" operator="equal">
      <formula>0</formula>
    </cfRule>
  </conditionalFormatting>
  <conditionalFormatting sqref="K840:K844">
    <cfRule type="expression" dxfId="772" priority="765">
      <formula>$J$19:$J$38&gt;0</formula>
    </cfRule>
  </conditionalFormatting>
  <conditionalFormatting sqref="K847:K851">
    <cfRule type="cellIs" dxfId="771" priority="764" operator="equal">
      <formula>0</formula>
    </cfRule>
  </conditionalFormatting>
  <conditionalFormatting sqref="K847:K851">
    <cfRule type="expression" dxfId="770" priority="763">
      <formula>$J$19:$J$38&gt;0</formula>
    </cfRule>
  </conditionalFormatting>
  <conditionalFormatting sqref="F844">
    <cfRule type="cellIs" dxfId="769" priority="762" operator="equal">
      <formula>"-"</formula>
    </cfRule>
  </conditionalFormatting>
  <conditionalFormatting sqref="F847:F851">
    <cfRule type="cellIs" dxfId="768" priority="761" operator="equal">
      <formula>"-"</formula>
    </cfRule>
  </conditionalFormatting>
  <conditionalFormatting sqref="J892">
    <cfRule type="cellIs" dxfId="767" priority="746" operator="equal">
      <formula>0</formula>
    </cfRule>
  </conditionalFormatting>
  <conditionalFormatting sqref="J885 H865:K884 H887:J891 H894:J898">
    <cfRule type="cellIs" dxfId="766" priority="759" operator="equal">
      <formula>0</formula>
    </cfRule>
  </conditionalFormatting>
  <conditionalFormatting sqref="E870:G884 E865:E869 G865:G869">
    <cfRule type="cellIs" dxfId="765" priority="758" operator="equal">
      <formula>"-"</formula>
    </cfRule>
  </conditionalFormatting>
  <conditionalFormatting sqref="J899">
    <cfRule type="cellIs" dxfId="764" priority="757" operator="equal">
      <formula>0</formula>
    </cfRule>
  </conditionalFormatting>
  <conditionalFormatting sqref="J901:J903">
    <cfRule type="cellIs" dxfId="763" priority="756" operator="equal">
      <formula>0</formula>
    </cfRule>
  </conditionalFormatting>
  <conditionalFormatting sqref="E887:E891 G887:G891">
    <cfRule type="cellIs" dxfId="762" priority="755" operator="equal">
      <formula>"-"</formula>
    </cfRule>
  </conditionalFormatting>
  <conditionalFormatting sqref="E894:E898 G894:G898">
    <cfRule type="cellIs" dxfId="761" priority="754" operator="equal">
      <formula>"-"</formula>
    </cfRule>
  </conditionalFormatting>
  <conditionalFormatting sqref="K865:K884">
    <cfRule type="expression" dxfId="760" priority="753">
      <formula>$J$19:$J$38&gt;0</formula>
    </cfRule>
  </conditionalFormatting>
  <conditionalFormatting sqref="K887:K891">
    <cfRule type="cellIs" dxfId="759" priority="752" operator="equal">
      <formula>0</formula>
    </cfRule>
  </conditionalFormatting>
  <conditionalFormatting sqref="K887:K891">
    <cfRule type="expression" dxfId="758" priority="751">
      <formula>$J$19:$J$38&gt;0</formula>
    </cfRule>
  </conditionalFormatting>
  <conditionalFormatting sqref="K894:K898">
    <cfRule type="cellIs" dxfId="757" priority="750" operator="equal">
      <formula>0</formula>
    </cfRule>
  </conditionalFormatting>
  <conditionalFormatting sqref="K894:K898">
    <cfRule type="expression" dxfId="756" priority="749">
      <formula>$J$19:$J$38&gt;0</formula>
    </cfRule>
  </conditionalFormatting>
  <conditionalFormatting sqref="F891">
    <cfRule type="cellIs" dxfId="755" priority="748" operator="equal">
      <formula>"-"</formula>
    </cfRule>
  </conditionalFormatting>
  <conditionalFormatting sqref="F894:F898">
    <cfRule type="cellIs" dxfId="754" priority="747" operator="equal">
      <formula>"-"</formula>
    </cfRule>
  </conditionalFormatting>
  <conditionalFormatting sqref="J939">
    <cfRule type="cellIs" dxfId="753" priority="732" operator="equal">
      <formula>0</formula>
    </cfRule>
  </conditionalFormatting>
  <conditionalFormatting sqref="J932 H912:K931 H934:J938 H941:J945">
    <cfRule type="cellIs" dxfId="752" priority="745" operator="equal">
      <formula>0</formula>
    </cfRule>
  </conditionalFormatting>
  <conditionalFormatting sqref="E916:G931 E912:E915 G912:G915">
    <cfRule type="cellIs" dxfId="751" priority="744" operator="equal">
      <formula>"-"</formula>
    </cfRule>
  </conditionalFormatting>
  <conditionalFormatting sqref="J946">
    <cfRule type="cellIs" dxfId="750" priority="743" operator="equal">
      <formula>0</formula>
    </cfRule>
  </conditionalFormatting>
  <conditionalFormatting sqref="J948:J950">
    <cfRule type="cellIs" dxfId="749" priority="742" operator="equal">
      <formula>0</formula>
    </cfRule>
  </conditionalFormatting>
  <conditionalFormatting sqref="E934:E938 G934:G938">
    <cfRule type="cellIs" dxfId="748" priority="741" operator="equal">
      <formula>"-"</formula>
    </cfRule>
  </conditionalFormatting>
  <conditionalFormatting sqref="E941:E945 G941:G945">
    <cfRule type="cellIs" dxfId="747" priority="740" operator="equal">
      <formula>"-"</formula>
    </cfRule>
  </conditionalFormatting>
  <conditionalFormatting sqref="K912:K931">
    <cfRule type="expression" dxfId="746" priority="739">
      <formula>$J$19:$J$38&gt;0</formula>
    </cfRule>
  </conditionalFormatting>
  <conditionalFormatting sqref="K934:K938">
    <cfRule type="cellIs" dxfId="745" priority="738" operator="equal">
      <formula>0</formula>
    </cfRule>
  </conditionalFormatting>
  <conditionalFormatting sqref="K934:K938">
    <cfRule type="expression" dxfId="744" priority="737">
      <formula>$J$19:$J$38&gt;0</formula>
    </cfRule>
  </conditionalFormatting>
  <conditionalFormatting sqref="K941:K945">
    <cfRule type="cellIs" dxfId="743" priority="736" operator="equal">
      <formula>0</formula>
    </cfRule>
  </conditionalFormatting>
  <conditionalFormatting sqref="K941:K945">
    <cfRule type="expression" dxfId="742" priority="735">
      <formula>$J$19:$J$38&gt;0</formula>
    </cfRule>
  </conditionalFormatting>
  <conditionalFormatting sqref="F938">
    <cfRule type="cellIs" dxfId="741" priority="734" operator="equal">
      <formula>"-"</formula>
    </cfRule>
  </conditionalFormatting>
  <conditionalFormatting sqref="F941:F945">
    <cfRule type="cellIs" dxfId="740" priority="733" operator="equal">
      <formula>"-"</formula>
    </cfRule>
  </conditionalFormatting>
  <conditionalFormatting sqref="J986">
    <cfRule type="cellIs" dxfId="739" priority="718" operator="equal">
      <formula>0</formula>
    </cfRule>
  </conditionalFormatting>
  <conditionalFormatting sqref="J979 H959:K978 H981:J985 H988:J992">
    <cfRule type="cellIs" dxfId="738" priority="731" operator="equal">
      <formula>0</formula>
    </cfRule>
  </conditionalFormatting>
  <conditionalFormatting sqref="E969:G978 E959:E968 G959:G968">
    <cfRule type="cellIs" dxfId="737" priority="730" operator="equal">
      <formula>"-"</formula>
    </cfRule>
  </conditionalFormatting>
  <conditionalFormatting sqref="J993">
    <cfRule type="cellIs" dxfId="736" priority="729" operator="equal">
      <formula>0</formula>
    </cfRule>
  </conditionalFormatting>
  <conditionalFormatting sqref="J995:J997">
    <cfRule type="cellIs" dxfId="735" priority="728" operator="equal">
      <formula>0</formula>
    </cfRule>
  </conditionalFormatting>
  <conditionalFormatting sqref="E981:E985 G981:G985">
    <cfRule type="cellIs" dxfId="734" priority="727" operator="equal">
      <formula>"-"</formula>
    </cfRule>
  </conditionalFormatting>
  <conditionalFormatting sqref="E988:E992 G988:G992">
    <cfRule type="cellIs" dxfId="733" priority="726" operator="equal">
      <formula>"-"</formula>
    </cfRule>
  </conditionalFormatting>
  <conditionalFormatting sqref="K959:K978">
    <cfRule type="expression" dxfId="732" priority="725">
      <formula>$J$19:$J$38&gt;0</formula>
    </cfRule>
  </conditionalFormatting>
  <conditionalFormatting sqref="K981:K985">
    <cfRule type="cellIs" dxfId="731" priority="724" operator="equal">
      <formula>0</formula>
    </cfRule>
  </conditionalFormatting>
  <conditionalFormatting sqref="K981:K985">
    <cfRule type="expression" dxfId="730" priority="723">
      <formula>$J$19:$J$38&gt;0</formula>
    </cfRule>
  </conditionalFormatting>
  <conditionalFormatting sqref="K988:K992">
    <cfRule type="cellIs" dxfId="729" priority="722" operator="equal">
      <formula>0</formula>
    </cfRule>
  </conditionalFormatting>
  <conditionalFormatting sqref="K988:K992">
    <cfRule type="expression" dxfId="728" priority="721">
      <formula>$J$19:$J$38&gt;0</formula>
    </cfRule>
  </conditionalFormatting>
  <conditionalFormatting sqref="F985">
    <cfRule type="cellIs" dxfId="727" priority="720" operator="equal">
      <formula>"-"</formula>
    </cfRule>
  </conditionalFormatting>
  <conditionalFormatting sqref="F988:F992">
    <cfRule type="cellIs" dxfId="726" priority="719" operator="equal">
      <formula>"-"</formula>
    </cfRule>
  </conditionalFormatting>
  <conditionalFormatting sqref="J1033">
    <cfRule type="cellIs" dxfId="725" priority="704" operator="equal">
      <formula>0</formula>
    </cfRule>
  </conditionalFormatting>
  <conditionalFormatting sqref="J1026 H1006:K1025 H1028:J1032 H1035:J1039">
    <cfRule type="cellIs" dxfId="724" priority="717" operator="equal">
      <formula>0</formula>
    </cfRule>
  </conditionalFormatting>
  <conditionalFormatting sqref="E1017:G1025 E1006:E1016 G1006:G1016">
    <cfRule type="cellIs" dxfId="723" priority="716" operator="equal">
      <formula>"-"</formula>
    </cfRule>
  </conditionalFormatting>
  <conditionalFormatting sqref="J1040">
    <cfRule type="cellIs" dxfId="722" priority="715" operator="equal">
      <formula>0</formula>
    </cfRule>
  </conditionalFormatting>
  <conditionalFormatting sqref="J1042:J1044">
    <cfRule type="cellIs" dxfId="721" priority="714" operator="equal">
      <formula>0</formula>
    </cfRule>
  </conditionalFormatting>
  <conditionalFormatting sqref="E1028:E1032 G1028:G1032">
    <cfRule type="cellIs" dxfId="720" priority="713" operator="equal">
      <formula>"-"</formula>
    </cfRule>
  </conditionalFormatting>
  <conditionalFormatting sqref="E1035:E1039 G1035:G1039">
    <cfRule type="cellIs" dxfId="719" priority="712" operator="equal">
      <formula>"-"</formula>
    </cfRule>
  </conditionalFormatting>
  <conditionalFormatting sqref="K1006:K1025">
    <cfRule type="expression" dxfId="718" priority="711">
      <formula>$J$19:$J$38&gt;0</formula>
    </cfRule>
  </conditionalFormatting>
  <conditionalFormatting sqref="K1028:K1032">
    <cfRule type="cellIs" dxfId="717" priority="710" operator="equal">
      <formula>0</formula>
    </cfRule>
  </conditionalFormatting>
  <conditionalFormatting sqref="K1028:K1032">
    <cfRule type="expression" dxfId="716" priority="709">
      <formula>$J$19:$J$38&gt;0</formula>
    </cfRule>
  </conditionalFormatting>
  <conditionalFormatting sqref="K1035:K1039">
    <cfRule type="cellIs" dxfId="715" priority="708" operator="equal">
      <formula>0</formula>
    </cfRule>
  </conditionalFormatting>
  <conditionalFormatting sqref="K1035:K1039">
    <cfRule type="expression" dxfId="714" priority="707">
      <formula>$J$19:$J$38&gt;0</formula>
    </cfRule>
  </conditionalFormatting>
  <conditionalFormatting sqref="F1032">
    <cfRule type="cellIs" dxfId="713" priority="706" operator="equal">
      <formula>"-"</formula>
    </cfRule>
  </conditionalFormatting>
  <conditionalFormatting sqref="F1035:F1039">
    <cfRule type="cellIs" dxfId="712" priority="705" operator="equal">
      <formula>"-"</formula>
    </cfRule>
  </conditionalFormatting>
  <conditionalFormatting sqref="J1080">
    <cfRule type="cellIs" dxfId="711" priority="690" operator="equal">
      <formula>0</formula>
    </cfRule>
  </conditionalFormatting>
  <conditionalFormatting sqref="J1073 H1053:K1072 H1075:J1079 H1082:J1086">
    <cfRule type="cellIs" dxfId="710" priority="703" operator="equal">
      <formula>0</formula>
    </cfRule>
  </conditionalFormatting>
  <conditionalFormatting sqref="E1056:G1072 E1053:E1055 G1053:G1055">
    <cfRule type="cellIs" dxfId="709" priority="702" operator="equal">
      <formula>"-"</formula>
    </cfRule>
  </conditionalFormatting>
  <conditionalFormatting sqref="J1087">
    <cfRule type="cellIs" dxfId="708" priority="701" operator="equal">
      <formula>0</formula>
    </cfRule>
  </conditionalFormatting>
  <conditionalFormatting sqref="J1089:J1091">
    <cfRule type="cellIs" dxfId="707" priority="700" operator="equal">
      <formula>0</formula>
    </cfRule>
  </conditionalFormatting>
  <conditionalFormatting sqref="E1075:E1079 G1075:G1079">
    <cfRule type="cellIs" dxfId="706" priority="699" operator="equal">
      <formula>"-"</formula>
    </cfRule>
  </conditionalFormatting>
  <conditionalFormatting sqref="E1082:E1086 G1082:G1086">
    <cfRule type="cellIs" dxfId="705" priority="698" operator="equal">
      <formula>"-"</formula>
    </cfRule>
  </conditionalFormatting>
  <conditionalFormatting sqref="K1053:K1072">
    <cfRule type="expression" dxfId="704" priority="697">
      <formula>$J$19:$J$38&gt;0</formula>
    </cfRule>
  </conditionalFormatting>
  <conditionalFormatting sqref="K1075:K1079">
    <cfRule type="cellIs" dxfId="703" priority="696" operator="equal">
      <formula>0</formula>
    </cfRule>
  </conditionalFormatting>
  <conditionalFormatting sqref="K1075:K1079">
    <cfRule type="expression" dxfId="702" priority="695">
      <formula>$J$19:$J$38&gt;0</formula>
    </cfRule>
  </conditionalFormatting>
  <conditionalFormatting sqref="K1082:K1086">
    <cfRule type="cellIs" dxfId="701" priority="694" operator="equal">
      <formula>0</formula>
    </cfRule>
  </conditionalFormatting>
  <conditionalFormatting sqref="K1082:K1086">
    <cfRule type="expression" dxfId="700" priority="693">
      <formula>$J$19:$J$38&gt;0</formula>
    </cfRule>
  </conditionalFormatting>
  <conditionalFormatting sqref="F1079">
    <cfRule type="cellIs" dxfId="699" priority="692" operator="equal">
      <formula>"-"</formula>
    </cfRule>
  </conditionalFormatting>
  <conditionalFormatting sqref="F1082:F1086">
    <cfRule type="cellIs" dxfId="698" priority="691" operator="equal">
      <formula>"-"</formula>
    </cfRule>
  </conditionalFormatting>
  <conditionalFormatting sqref="J1127">
    <cfRule type="cellIs" dxfId="697" priority="676" operator="equal">
      <formula>0</formula>
    </cfRule>
  </conditionalFormatting>
  <conditionalFormatting sqref="J1120 H1100:K1119 H1122:J1126 H1129:J1133">
    <cfRule type="cellIs" dxfId="696" priority="689" operator="equal">
      <formula>0</formula>
    </cfRule>
  </conditionalFormatting>
  <conditionalFormatting sqref="E1103:G1119 E1100:E1102 G1100:G1102">
    <cfRule type="cellIs" dxfId="695" priority="688" operator="equal">
      <formula>"-"</formula>
    </cfRule>
  </conditionalFormatting>
  <conditionalFormatting sqref="J1134">
    <cfRule type="cellIs" dxfId="694" priority="687" operator="equal">
      <formula>0</formula>
    </cfRule>
  </conditionalFormatting>
  <conditionalFormatting sqref="J1136:J1138">
    <cfRule type="cellIs" dxfId="693" priority="686" operator="equal">
      <formula>0</formula>
    </cfRule>
  </conditionalFormatting>
  <conditionalFormatting sqref="E1122:E1126 G1122:G1126">
    <cfRule type="cellIs" dxfId="692" priority="685" operator="equal">
      <formula>"-"</formula>
    </cfRule>
  </conditionalFormatting>
  <conditionalFormatting sqref="E1129:E1133 G1129:G1133">
    <cfRule type="cellIs" dxfId="691" priority="684" operator="equal">
      <formula>"-"</formula>
    </cfRule>
  </conditionalFormatting>
  <conditionalFormatting sqref="K1100:K1119">
    <cfRule type="expression" dxfId="690" priority="683">
      <formula>$J$19:$J$38&gt;0</formula>
    </cfRule>
  </conditionalFormatting>
  <conditionalFormatting sqref="K1122:K1126">
    <cfRule type="cellIs" dxfId="689" priority="682" operator="equal">
      <formula>0</formula>
    </cfRule>
  </conditionalFormatting>
  <conditionalFormatting sqref="K1122:K1126">
    <cfRule type="expression" dxfId="688" priority="681">
      <formula>$J$19:$J$38&gt;0</formula>
    </cfRule>
  </conditionalFormatting>
  <conditionalFormatting sqref="K1129:K1133">
    <cfRule type="cellIs" dxfId="687" priority="680" operator="equal">
      <formula>0</formula>
    </cfRule>
  </conditionalFormatting>
  <conditionalFormatting sqref="K1129:K1133">
    <cfRule type="expression" dxfId="686" priority="679">
      <formula>$J$19:$J$38&gt;0</formula>
    </cfRule>
  </conditionalFormatting>
  <conditionalFormatting sqref="F1126">
    <cfRule type="cellIs" dxfId="685" priority="678" operator="equal">
      <formula>"-"</formula>
    </cfRule>
  </conditionalFormatting>
  <conditionalFormatting sqref="F1129:F1133">
    <cfRule type="cellIs" dxfId="684" priority="677" operator="equal">
      <formula>"-"</formula>
    </cfRule>
  </conditionalFormatting>
  <conditionalFormatting sqref="J1174">
    <cfRule type="cellIs" dxfId="683" priority="662" operator="equal">
      <formula>0</formula>
    </cfRule>
  </conditionalFormatting>
  <conditionalFormatting sqref="J1167 H1147:K1166 H1169:J1173 H1176:J1180">
    <cfRule type="cellIs" dxfId="682" priority="675" operator="equal">
      <formula>0</formula>
    </cfRule>
  </conditionalFormatting>
  <conditionalFormatting sqref="E1151:G1166 E1147:E1150 G1147:G1150">
    <cfRule type="cellIs" dxfId="681" priority="674" operator="equal">
      <formula>"-"</formula>
    </cfRule>
  </conditionalFormatting>
  <conditionalFormatting sqref="J1181">
    <cfRule type="cellIs" dxfId="680" priority="673" operator="equal">
      <formula>0</formula>
    </cfRule>
  </conditionalFormatting>
  <conditionalFormatting sqref="J1183:J1185">
    <cfRule type="cellIs" dxfId="679" priority="672" operator="equal">
      <formula>0</formula>
    </cfRule>
  </conditionalFormatting>
  <conditionalFormatting sqref="E1169:E1173 G1169:G1173">
    <cfRule type="cellIs" dxfId="678" priority="671" operator="equal">
      <formula>"-"</formula>
    </cfRule>
  </conditionalFormatting>
  <conditionalFormatting sqref="E1176:E1180 G1176:G1180">
    <cfRule type="cellIs" dxfId="677" priority="670" operator="equal">
      <formula>"-"</formula>
    </cfRule>
  </conditionalFormatting>
  <conditionalFormatting sqref="K1147:K1166">
    <cfRule type="expression" dxfId="676" priority="669">
      <formula>$J$19:$J$38&gt;0</formula>
    </cfRule>
  </conditionalFormatting>
  <conditionalFormatting sqref="K1169:K1173">
    <cfRule type="cellIs" dxfId="675" priority="668" operator="equal">
      <formula>0</formula>
    </cfRule>
  </conditionalFormatting>
  <conditionalFormatting sqref="K1169:K1173">
    <cfRule type="expression" dxfId="674" priority="667">
      <formula>$J$19:$J$38&gt;0</formula>
    </cfRule>
  </conditionalFormatting>
  <conditionalFormatting sqref="K1176:K1180">
    <cfRule type="cellIs" dxfId="673" priority="666" operator="equal">
      <formula>0</formula>
    </cfRule>
  </conditionalFormatting>
  <conditionalFormatting sqref="K1176:K1180">
    <cfRule type="expression" dxfId="672" priority="665">
      <formula>$J$19:$J$38&gt;0</formula>
    </cfRule>
  </conditionalFormatting>
  <conditionalFormatting sqref="F1173">
    <cfRule type="cellIs" dxfId="671" priority="664" operator="equal">
      <formula>"-"</formula>
    </cfRule>
  </conditionalFormatting>
  <conditionalFormatting sqref="F1176:F1180">
    <cfRule type="cellIs" dxfId="670" priority="663" operator="equal">
      <formula>"-"</formula>
    </cfRule>
  </conditionalFormatting>
  <conditionalFormatting sqref="J1221">
    <cfRule type="cellIs" dxfId="669" priority="648" operator="equal">
      <formula>0</formula>
    </cfRule>
  </conditionalFormatting>
  <conditionalFormatting sqref="J1214 H1194:K1213 H1216:J1220 H1223:J1227">
    <cfRule type="cellIs" dxfId="668" priority="661" operator="equal">
      <formula>0</formula>
    </cfRule>
  </conditionalFormatting>
  <conditionalFormatting sqref="E1194:G1213">
    <cfRule type="cellIs" dxfId="667" priority="660" operator="equal">
      <formula>"-"</formula>
    </cfRule>
  </conditionalFormatting>
  <conditionalFormatting sqref="J1228">
    <cfRule type="cellIs" dxfId="666" priority="659" operator="equal">
      <formula>0</formula>
    </cfRule>
  </conditionalFormatting>
  <conditionalFormatting sqref="J1230:J1232">
    <cfRule type="cellIs" dxfId="665" priority="658" operator="equal">
      <formula>0</formula>
    </cfRule>
  </conditionalFormatting>
  <conditionalFormatting sqref="E1216:E1220 G1216:G1220">
    <cfRule type="cellIs" dxfId="664" priority="657" operator="equal">
      <formula>"-"</formula>
    </cfRule>
  </conditionalFormatting>
  <conditionalFormatting sqref="E1223:E1227 G1223:G1227">
    <cfRule type="cellIs" dxfId="663" priority="656" operator="equal">
      <formula>"-"</formula>
    </cfRule>
  </conditionalFormatting>
  <conditionalFormatting sqref="K1194:K1213">
    <cfRule type="expression" dxfId="662" priority="655">
      <formula>$J$19:$J$38&gt;0</formula>
    </cfRule>
  </conditionalFormatting>
  <conditionalFormatting sqref="K1216:K1220">
    <cfRule type="cellIs" dxfId="661" priority="654" operator="equal">
      <formula>0</formula>
    </cfRule>
  </conditionalFormatting>
  <conditionalFormatting sqref="K1216:K1220">
    <cfRule type="expression" dxfId="660" priority="653">
      <formula>$J$19:$J$38&gt;0</formula>
    </cfRule>
  </conditionalFormatting>
  <conditionalFormatting sqref="K1223:K1227">
    <cfRule type="cellIs" dxfId="659" priority="652" operator="equal">
      <formula>0</formula>
    </cfRule>
  </conditionalFormatting>
  <conditionalFormatting sqref="K1223:K1227">
    <cfRule type="expression" dxfId="658" priority="651">
      <formula>$J$19:$J$38&gt;0</formula>
    </cfRule>
  </conditionalFormatting>
  <conditionalFormatting sqref="F1220">
    <cfRule type="cellIs" dxfId="657" priority="650" operator="equal">
      <formula>"-"</formula>
    </cfRule>
  </conditionalFormatting>
  <conditionalFormatting sqref="F1223:F1227">
    <cfRule type="cellIs" dxfId="656" priority="649" operator="equal">
      <formula>"-"</formula>
    </cfRule>
  </conditionalFormatting>
  <conditionalFormatting sqref="J1268">
    <cfRule type="cellIs" dxfId="655" priority="634" operator="equal">
      <formula>0</formula>
    </cfRule>
  </conditionalFormatting>
  <conditionalFormatting sqref="J1261 H1241:K1260 H1263:J1267 H1270:J1274">
    <cfRule type="cellIs" dxfId="654" priority="647" operator="equal">
      <formula>0</formula>
    </cfRule>
  </conditionalFormatting>
  <conditionalFormatting sqref="E1248:G1260 E1241:E1247 G1241:G1247">
    <cfRule type="cellIs" dxfId="653" priority="646" operator="equal">
      <formula>"-"</formula>
    </cfRule>
  </conditionalFormatting>
  <conditionalFormatting sqref="J1275">
    <cfRule type="cellIs" dxfId="652" priority="645" operator="equal">
      <formula>0</formula>
    </cfRule>
  </conditionalFormatting>
  <conditionalFormatting sqref="J1277:J1279">
    <cfRule type="cellIs" dxfId="651" priority="644" operator="equal">
      <formula>0</formula>
    </cfRule>
  </conditionalFormatting>
  <conditionalFormatting sqref="E1263:E1267 G1263:G1267">
    <cfRule type="cellIs" dxfId="650" priority="643" operator="equal">
      <formula>"-"</formula>
    </cfRule>
  </conditionalFormatting>
  <conditionalFormatting sqref="E1270:E1274 G1270:G1274">
    <cfRule type="cellIs" dxfId="649" priority="642" operator="equal">
      <formula>"-"</formula>
    </cfRule>
  </conditionalFormatting>
  <conditionalFormatting sqref="K1241:K1260">
    <cfRule type="expression" dxfId="648" priority="641">
      <formula>$J$19:$J$38&gt;0</formula>
    </cfRule>
  </conditionalFormatting>
  <conditionalFormatting sqref="K1263:K1267">
    <cfRule type="cellIs" dxfId="647" priority="640" operator="equal">
      <formula>0</formula>
    </cfRule>
  </conditionalFormatting>
  <conditionalFormatting sqref="K1263:K1267">
    <cfRule type="expression" dxfId="646" priority="639">
      <formula>$J$19:$J$38&gt;0</formula>
    </cfRule>
  </conditionalFormatting>
  <conditionalFormatting sqref="K1270:K1274">
    <cfRule type="cellIs" dxfId="645" priority="638" operator="equal">
      <formula>0</formula>
    </cfRule>
  </conditionalFormatting>
  <conditionalFormatting sqref="K1270:K1274">
    <cfRule type="expression" dxfId="644" priority="637">
      <formula>$J$19:$J$38&gt;0</formula>
    </cfRule>
  </conditionalFormatting>
  <conditionalFormatting sqref="F1267">
    <cfRule type="cellIs" dxfId="643" priority="636" operator="equal">
      <formula>"-"</formula>
    </cfRule>
  </conditionalFormatting>
  <conditionalFormatting sqref="F1270:F1274">
    <cfRule type="cellIs" dxfId="642" priority="635" operator="equal">
      <formula>"-"</formula>
    </cfRule>
  </conditionalFormatting>
  <conditionalFormatting sqref="J1315">
    <cfRule type="cellIs" dxfId="641" priority="620" operator="equal">
      <formula>0</formula>
    </cfRule>
  </conditionalFormatting>
  <conditionalFormatting sqref="J1308 H1288:K1307 H1310:J1314 H1317:J1321">
    <cfRule type="cellIs" dxfId="640" priority="633" operator="equal">
      <formula>0</formula>
    </cfRule>
  </conditionalFormatting>
  <conditionalFormatting sqref="E1288:G1307">
    <cfRule type="cellIs" dxfId="639" priority="632" operator="equal">
      <formula>"-"</formula>
    </cfRule>
  </conditionalFormatting>
  <conditionalFormatting sqref="J1322">
    <cfRule type="cellIs" dxfId="638" priority="631" operator="equal">
      <formula>0</formula>
    </cfRule>
  </conditionalFormatting>
  <conditionalFormatting sqref="J1324:J1326">
    <cfRule type="cellIs" dxfId="637" priority="630" operator="equal">
      <formula>0</formula>
    </cfRule>
  </conditionalFormatting>
  <conditionalFormatting sqref="E1310:E1314 G1310:G1314">
    <cfRule type="cellIs" dxfId="636" priority="629" operator="equal">
      <formula>"-"</formula>
    </cfRule>
  </conditionalFormatting>
  <conditionalFormatting sqref="E1317:E1321 G1317:G1321">
    <cfRule type="cellIs" dxfId="635" priority="628" operator="equal">
      <formula>"-"</formula>
    </cfRule>
  </conditionalFormatting>
  <conditionalFormatting sqref="K1288:K1307">
    <cfRule type="expression" dxfId="634" priority="627">
      <formula>$J$19:$J$38&gt;0</formula>
    </cfRule>
  </conditionalFormatting>
  <conditionalFormatting sqref="K1310:K1314">
    <cfRule type="cellIs" dxfId="633" priority="626" operator="equal">
      <formula>0</formula>
    </cfRule>
  </conditionalFormatting>
  <conditionalFormatting sqref="K1310:K1314">
    <cfRule type="expression" dxfId="632" priority="625">
      <formula>$J$19:$J$38&gt;0</formula>
    </cfRule>
  </conditionalFormatting>
  <conditionalFormatting sqref="K1317:K1321">
    <cfRule type="cellIs" dxfId="631" priority="624" operator="equal">
      <formula>0</formula>
    </cfRule>
  </conditionalFormatting>
  <conditionalFormatting sqref="K1317:K1321">
    <cfRule type="expression" dxfId="630" priority="623">
      <formula>$J$19:$J$38&gt;0</formula>
    </cfRule>
  </conditionalFormatting>
  <conditionalFormatting sqref="F1314">
    <cfRule type="cellIs" dxfId="629" priority="622" operator="equal">
      <formula>"-"</formula>
    </cfRule>
  </conditionalFormatting>
  <conditionalFormatting sqref="F1317:F1321">
    <cfRule type="cellIs" dxfId="628" priority="621" operator="equal">
      <formula>"-"</formula>
    </cfRule>
  </conditionalFormatting>
  <conditionalFormatting sqref="J1362">
    <cfRule type="cellIs" dxfId="627" priority="606" operator="equal">
      <formula>0</formula>
    </cfRule>
  </conditionalFormatting>
  <conditionalFormatting sqref="J1355 H1335:K1354 H1357:J1361 H1364:J1368">
    <cfRule type="cellIs" dxfId="626" priority="619" operator="equal">
      <formula>0</formula>
    </cfRule>
  </conditionalFormatting>
  <conditionalFormatting sqref="E1338:G1354 E1335:E1337 G1335:G1337">
    <cfRule type="cellIs" dxfId="625" priority="618" operator="equal">
      <formula>"-"</formula>
    </cfRule>
  </conditionalFormatting>
  <conditionalFormatting sqref="J1369">
    <cfRule type="cellIs" dxfId="624" priority="617" operator="equal">
      <formula>0</formula>
    </cfRule>
  </conditionalFormatting>
  <conditionalFormatting sqref="J1371:J1373">
    <cfRule type="cellIs" dxfId="623" priority="616" operator="equal">
      <formula>0</formula>
    </cfRule>
  </conditionalFormatting>
  <conditionalFormatting sqref="E1357:E1361 G1357:G1361">
    <cfRule type="cellIs" dxfId="622" priority="615" operator="equal">
      <formula>"-"</formula>
    </cfRule>
  </conditionalFormatting>
  <conditionalFormatting sqref="E1364:E1368 G1364:G1368">
    <cfRule type="cellIs" dxfId="621" priority="614" operator="equal">
      <formula>"-"</formula>
    </cfRule>
  </conditionalFormatting>
  <conditionalFormatting sqref="K1335:K1354">
    <cfRule type="expression" dxfId="620" priority="613">
      <formula>$J$19:$J$38&gt;0</formula>
    </cfRule>
  </conditionalFormatting>
  <conditionalFormatting sqref="K1357:K1361">
    <cfRule type="cellIs" dxfId="619" priority="612" operator="equal">
      <formula>0</formula>
    </cfRule>
  </conditionalFormatting>
  <conditionalFormatting sqref="K1357:K1361">
    <cfRule type="expression" dxfId="618" priority="611">
      <formula>$J$19:$J$38&gt;0</formula>
    </cfRule>
  </conditionalFormatting>
  <conditionalFormatting sqref="K1364:K1368">
    <cfRule type="cellIs" dxfId="617" priority="610" operator="equal">
      <formula>0</formula>
    </cfRule>
  </conditionalFormatting>
  <conditionalFormatting sqref="K1364:K1368">
    <cfRule type="expression" dxfId="616" priority="609">
      <formula>$J$19:$J$38&gt;0</formula>
    </cfRule>
  </conditionalFormatting>
  <conditionalFormatting sqref="F1361">
    <cfRule type="cellIs" dxfId="615" priority="608" operator="equal">
      <formula>"-"</formula>
    </cfRule>
  </conditionalFormatting>
  <conditionalFormatting sqref="F1364:F1368">
    <cfRule type="cellIs" dxfId="614" priority="607" operator="equal">
      <formula>"-"</formula>
    </cfRule>
  </conditionalFormatting>
  <conditionalFormatting sqref="J1409">
    <cfRule type="cellIs" dxfId="613" priority="592" operator="equal">
      <formula>0</formula>
    </cfRule>
  </conditionalFormatting>
  <conditionalFormatting sqref="J1402 H1382:K1401 H1404:J1408 H1411:J1415">
    <cfRule type="cellIs" dxfId="612" priority="605" operator="equal">
      <formula>0</formula>
    </cfRule>
  </conditionalFormatting>
  <conditionalFormatting sqref="E1382:G1401">
    <cfRule type="cellIs" dxfId="611" priority="604" operator="equal">
      <formula>"-"</formula>
    </cfRule>
  </conditionalFormatting>
  <conditionalFormatting sqref="J1416">
    <cfRule type="cellIs" dxfId="610" priority="603" operator="equal">
      <formula>0</formula>
    </cfRule>
  </conditionalFormatting>
  <conditionalFormatting sqref="J1418:J1420">
    <cfRule type="cellIs" dxfId="609" priority="602" operator="equal">
      <formula>0</formula>
    </cfRule>
  </conditionalFormatting>
  <conditionalFormatting sqref="E1404:E1408 G1404:G1408">
    <cfRule type="cellIs" dxfId="608" priority="601" operator="equal">
      <formula>"-"</formula>
    </cfRule>
  </conditionalFormatting>
  <conditionalFormatting sqref="E1411:E1415 G1411:G1415">
    <cfRule type="cellIs" dxfId="607" priority="600" operator="equal">
      <formula>"-"</formula>
    </cfRule>
  </conditionalFormatting>
  <conditionalFormatting sqref="K1382:K1401">
    <cfRule type="expression" dxfId="606" priority="599">
      <formula>$J$19:$J$38&gt;0</formula>
    </cfRule>
  </conditionalFormatting>
  <conditionalFormatting sqref="K1404:K1408">
    <cfRule type="cellIs" dxfId="605" priority="598" operator="equal">
      <formula>0</formula>
    </cfRule>
  </conditionalFormatting>
  <conditionalFormatting sqref="K1404:K1408">
    <cfRule type="expression" dxfId="604" priority="597">
      <formula>$J$19:$J$38&gt;0</formula>
    </cfRule>
  </conditionalFormatting>
  <conditionalFormatting sqref="K1411:K1415">
    <cfRule type="cellIs" dxfId="603" priority="596" operator="equal">
      <formula>0</formula>
    </cfRule>
  </conditionalFormatting>
  <conditionalFormatting sqref="K1411:K1415">
    <cfRule type="expression" dxfId="602" priority="595">
      <formula>$J$19:$J$38&gt;0</formula>
    </cfRule>
  </conditionalFormatting>
  <conditionalFormatting sqref="F1408">
    <cfRule type="cellIs" dxfId="601" priority="594" operator="equal">
      <formula>"-"</formula>
    </cfRule>
  </conditionalFormatting>
  <conditionalFormatting sqref="F1411:F1415">
    <cfRule type="cellIs" dxfId="600" priority="593" operator="equal">
      <formula>"-"</formula>
    </cfRule>
  </conditionalFormatting>
  <conditionalFormatting sqref="J1456">
    <cfRule type="cellIs" dxfId="599" priority="578" operator="equal">
      <formula>0</formula>
    </cfRule>
  </conditionalFormatting>
  <conditionalFormatting sqref="J1449 H1429:K1448 H1451:J1455 H1458:J1462">
    <cfRule type="cellIs" dxfId="598" priority="591" operator="equal">
      <formula>0</formula>
    </cfRule>
  </conditionalFormatting>
  <conditionalFormatting sqref="E1429:G1448">
    <cfRule type="cellIs" dxfId="597" priority="590" operator="equal">
      <formula>"-"</formula>
    </cfRule>
  </conditionalFormatting>
  <conditionalFormatting sqref="J1463">
    <cfRule type="cellIs" dxfId="596" priority="589" operator="equal">
      <formula>0</formula>
    </cfRule>
  </conditionalFormatting>
  <conditionalFormatting sqref="J1465:J1467">
    <cfRule type="cellIs" dxfId="595" priority="588" operator="equal">
      <formula>0</formula>
    </cfRule>
  </conditionalFormatting>
  <conditionalFormatting sqref="E1451:E1455 G1451:G1455">
    <cfRule type="cellIs" dxfId="594" priority="587" operator="equal">
      <formula>"-"</formula>
    </cfRule>
  </conditionalFormatting>
  <conditionalFormatting sqref="E1458:E1462 G1458:G1462">
    <cfRule type="cellIs" dxfId="593" priority="586" operator="equal">
      <formula>"-"</formula>
    </cfRule>
  </conditionalFormatting>
  <conditionalFormatting sqref="K1429:K1448">
    <cfRule type="expression" dxfId="592" priority="585">
      <formula>$J$19:$J$38&gt;0</formula>
    </cfRule>
  </conditionalFormatting>
  <conditionalFormatting sqref="K1451:K1455">
    <cfRule type="cellIs" dxfId="591" priority="584" operator="equal">
      <formula>0</formula>
    </cfRule>
  </conditionalFormatting>
  <conditionalFormatting sqref="K1451:K1455">
    <cfRule type="expression" dxfId="590" priority="583">
      <formula>$J$19:$J$38&gt;0</formula>
    </cfRule>
  </conditionalFormatting>
  <conditionalFormatting sqref="K1458:K1462">
    <cfRule type="cellIs" dxfId="589" priority="582" operator="equal">
      <formula>0</formula>
    </cfRule>
  </conditionalFormatting>
  <conditionalFormatting sqref="K1458:K1462">
    <cfRule type="expression" dxfId="588" priority="581">
      <formula>$J$19:$J$38&gt;0</formula>
    </cfRule>
  </conditionalFormatting>
  <conditionalFormatting sqref="F1455">
    <cfRule type="cellIs" dxfId="587" priority="580" operator="equal">
      <formula>"-"</formula>
    </cfRule>
  </conditionalFormatting>
  <conditionalFormatting sqref="F1458:F1462">
    <cfRule type="cellIs" dxfId="586" priority="579" operator="equal">
      <formula>"-"</formula>
    </cfRule>
  </conditionalFormatting>
  <conditionalFormatting sqref="J1503">
    <cfRule type="cellIs" dxfId="585" priority="564" operator="equal">
      <formula>0</formula>
    </cfRule>
  </conditionalFormatting>
  <conditionalFormatting sqref="J1496 H1476:K1495 H1498:J1502 H1505:J1509">
    <cfRule type="cellIs" dxfId="584" priority="577" operator="equal">
      <formula>0</formula>
    </cfRule>
  </conditionalFormatting>
  <conditionalFormatting sqref="E1476:G1495">
    <cfRule type="cellIs" dxfId="583" priority="576" operator="equal">
      <formula>"-"</formula>
    </cfRule>
  </conditionalFormatting>
  <conditionalFormatting sqref="J1510">
    <cfRule type="cellIs" dxfId="582" priority="575" operator="equal">
      <formula>0</formula>
    </cfRule>
  </conditionalFormatting>
  <conditionalFormatting sqref="J1512:J1514">
    <cfRule type="cellIs" dxfId="581" priority="574" operator="equal">
      <formula>0</formula>
    </cfRule>
  </conditionalFormatting>
  <conditionalFormatting sqref="E1498:E1502 G1498:G1502">
    <cfRule type="cellIs" dxfId="580" priority="573" operator="equal">
      <formula>"-"</formula>
    </cfRule>
  </conditionalFormatting>
  <conditionalFormatting sqref="E1505:E1509 G1505:G1509">
    <cfRule type="cellIs" dxfId="579" priority="572" operator="equal">
      <formula>"-"</formula>
    </cfRule>
  </conditionalFormatting>
  <conditionalFormatting sqref="K1476:K1495">
    <cfRule type="expression" dxfId="578" priority="571">
      <formula>$J$19:$J$38&gt;0</formula>
    </cfRule>
  </conditionalFormatting>
  <conditionalFormatting sqref="K1498:K1502">
    <cfRule type="cellIs" dxfId="577" priority="570" operator="equal">
      <formula>0</formula>
    </cfRule>
  </conditionalFormatting>
  <conditionalFormatting sqref="K1498:K1502">
    <cfRule type="expression" dxfId="576" priority="569">
      <formula>$J$19:$J$38&gt;0</formula>
    </cfRule>
  </conditionalFormatting>
  <conditionalFormatting sqref="K1505:K1509">
    <cfRule type="cellIs" dxfId="575" priority="568" operator="equal">
      <formula>0</formula>
    </cfRule>
  </conditionalFormatting>
  <conditionalFormatting sqref="K1505:K1509">
    <cfRule type="expression" dxfId="574" priority="567">
      <formula>$J$19:$J$38&gt;0</formula>
    </cfRule>
  </conditionalFormatting>
  <conditionalFormatting sqref="F1502">
    <cfRule type="cellIs" dxfId="573" priority="566" operator="equal">
      <formula>"-"</formula>
    </cfRule>
  </conditionalFormatting>
  <conditionalFormatting sqref="F1505:F1509">
    <cfRule type="cellIs" dxfId="572" priority="565" operator="equal">
      <formula>"-"</formula>
    </cfRule>
  </conditionalFormatting>
  <conditionalFormatting sqref="J1550">
    <cfRule type="cellIs" dxfId="571" priority="550" operator="equal">
      <formula>0</formula>
    </cfRule>
  </conditionalFormatting>
  <conditionalFormatting sqref="J1543 H1523:K1542 H1545:J1549 H1552:J1556">
    <cfRule type="cellIs" dxfId="570" priority="563" operator="equal">
      <formula>0</formula>
    </cfRule>
  </conditionalFormatting>
  <conditionalFormatting sqref="E1523:G1542">
    <cfRule type="cellIs" dxfId="569" priority="562" operator="equal">
      <formula>"-"</formula>
    </cfRule>
  </conditionalFormatting>
  <conditionalFormatting sqref="J1557">
    <cfRule type="cellIs" dxfId="568" priority="561" operator="equal">
      <formula>0</formula>
    </cfRule>
  </conditionalFormatting>
  <conditionalFormatting sqref="J1559:J1561">
    <cfRule type="cellIs" dxfId="567" priority="560" operator="equal">
      <formula>0</formula>
    </cfRule>
  </conditionalFormatting>
  <conditionalFormatting sqref="E1545:E1549 G1545:G1549">
    <cfRule type="cellIs" dxfId="566" priority="559" operator="equal">
      <formula>"-"</formula>
    </cfRule>
  </conditionalFormatting>
  <conditionalFormatting sqref="E1552:E1556 G1552:G1556">
    <cfRule type="cellIs" dxfId="565" priority="558" operator="equal">
      <formula>"-"</formula>
    </cfRule>
  </conditionalFormatting>
  <conditionalFormatting sqref="K1523:K1542">
    <cfRule type="expression" dxfId="564" priority="557">
      <formula>$J$19:$J$38&gt;0</formula>
    </cfRule>
  </conditionalFormatting>
  <conditionalFormatting sqref="K1545:K1549">
    <cfRule type="cellIs" dxfId="563" priority="556" operator="equal">
      <formula>0</formula>
    </cfRule>
  </conditionalFormatting>
  <conditionalFormatting sqref="K1545:K1549">
    <cfRule type="expression" dxfId="562" priority="555">
      <formula>$J$19:$J$38&gt;0</formula>
    </cfRule>
  </conditionalFormatting>
  <conditionalFormatting sqref="K1552:K1556">
    <cfRule type="cellIs" dxfId="561" priority="554" operator="equal">
      <formula>0</formula>
    </cfRule>
  </conditionalFormatting>
  <conditionalFormatting sqref="K1552:K1556">
    <cfRule type="expression" dxfId="560" priority="553">
      <formula>$J$19:$J$38&gt;0</formula>
    </cfRule>
  </conditionalFormatting>
  <conditionalFormatting sqref="F1549">
    <cfRule type="cellIs" dxfId="559" priority="552" operator="equal">
      <formula>"-"</formula>
    </cfRule>
  </conditionalFormatting>
  <conditionalFormatting sqref="F1552:F1556">
    <cfRule type="cellIs" dxfId="558" priority="551" operator="equal">
      <formula>"-"</formula>
    </cfRule>
  </conditionalFormatting>
  <conditionalFormatting sqref="J1597">
    <cfRule type="cellIs" dxfId="557" priority="536" operator="equal">
      <formula>0</formula>
    </cfRule>
  </conditionalFormatting>
  <conditionalFormatting sqref="J1590 H1570:K1589 H1592:J1596 H1599:J1603">
    <cfRule type="cellIs" dxfId="556" priority="549" operator="equal">
      <formula>0</formula>
    </cfRule>
  </conditionalFormatting>
  <conditionalFormatting sqref="E1570:G1589">
    <cfRule type="cellIs" dxfId="555" priority="548" operator="equal">
      <formula>"-"</formula>
    </cfRule>
  </conditionalFormatting>
  <conditionalFormatting sqref="J1604">
    <cfRule type="cellIs" dxfId="554" priority="547" operator="equal">
      <formula>0</formula>
    </cfRule>
  </conditionalFormatting>
  <conditionalFormatting sqref="J1606:J1608">
    <cfRule type="cellIs" dxfId="553" priority="546" operator="equal">
      <formula>0</formula>
    </cfRule>
  </conditionalFormatting>
  <conditionalFormatting sqref="E1592:E1596 G1592:G1596">
    <cfRule type="cellIs" dxfId="552" priority="545" operator="equal">
      <formula>"-"</formula>
    </cfRule>
  </conditionalFormatting>
  <conditionalFormatting sqref="E1599:E1603 G1599:G1603">
    <cfRule type="cellIs" dxfId="551" priority="544" operator="equal">
      <formula>"-"</formula>
    </cfRule>
  </conditionalFormatting>
  <conditionalFormatting sqref="K1570:K1589">
    <cfRule type="expression" dxfId="550" priority="543">
      <formula>$J$19:$J$38&gt;0</formula>
    </cfRule>
  </conditionalFormatting>
  <conditionalFormatting sqref="K1592:K1596">
    <cfRule type="cellIs" dxfId="549" priority="542" operator="equal">
      <formula>0</formula>
    </cfRule>
  </conditionalFormatting>
  <conditionalFormatting sqref="K1592:K1596">
    <cfRule type="expression" dxfId="548" priority="541">
      <formula>$J$19:$J$38&gt;0</formula>
    </cfRule>
  </conditionalFormatting>
  <conditionalFormatting sqref="K1599:K1603">
    <cfRule type="cellIs" dxfId="547" priority="540" operator="equal">
      <formula>0</formula>
    </cfRule>
  </conditionalFormatting>
  <conditionalFormatting sqref="K1599:K1603">
    <cfRule type="expression" dxfId="546" priority="539">
      <formula>$J$19:$J$38&gt;0</formula>
    </cfRule>
  </conditionalFormatting>
  <conditionalFormatting sqref="F1596">
    <cfRule type="cellIs" dxfId="545" priority="538" operator="equal">
      <formula>"-"</formula>
    </cfRule>
  </conditionalFormatting>
  <conditionalFormatting sqref="F1599:F1603">
    <cfRule type="cellIs" dxfId="544" priority="537" operator="equal">
      <formula>"-"</formula>
    </cfRule>
  </conditionalFormatting>
  <conditionalFormatting sqref="J1644">
    <cfRule type="cellIs" dxfId="543" priority="522" operator="equal">
      <formula>0</formula>
    </cfRule>
  </conditionalFormatting>
  <conditionalFormatting sqref="J1637 H1617:K1636 H1639:J1643 H1646:J1650">
    <cfRule type="cellIs" dxfId="542" priority="535" operator="equal">
      <formula>0</formula>
    </cfRule>
  </conditionalFormatting>
  <conditionalFormatting sqref="E1617:G1636">
    <cfRule type="cellIs" dxfId="541" priority="534" operator="equal">
      <formula>"-"</formula>
    </cfRule>
  </conditionalFormatting>
  <conditionalFormatting sqref="J1651">
    <cfRule type="cellIs" dxfId="540" priority="533" operator="equal">
      <formula>0</formula>
    </cfRule>
  </conditionalFormatting>
  <conditionalFormatting sqref="J1653:J1655">
    <cfRule type="cellIs" dxfId="539" priority="532" operator="equal">
      <formula>0</formula>
    </cfRule>
  </conditionalFormatting>
  <conditionalFormatting sqref="E1639:E1643 G1639:G1643">
    <cfRule type="cellIs" dxfId="538" priority="531" operator="equal">
      <formula>"-"</formula>
    </cfRule>
  </conditionalFormatting>
  <conditionalFormatting sqref="E1646:E1650 G1646:G1650">
    <cfRule type="cellIs" dxfId="537" priority="530" operator="equal">
      <formula>"-"</formula>
    </cfRule>
  </conditionalFormatting>
  <conditionalFormatting sqref="K1617:K1636">
    <cfRule type="expression" dxfId="536" priority="529">
      <formula>$J$19:$J$38&gt;0</formula>
    </cfRule>
  </conditionalFormatting>
  <conditionalFormatting sqref="K1639:K1643">
    <cfRule type="cellIs" dxfId="535" priority="528" operator="equal">
      <formula>0</formula>
    </cfRule>
  </conditionalFormatting>
  <conditionalFormatting sqref="K1639:K1643">
    <cfRule type="expression" dxfId="534" priority="527">
      <formula>$J$19:$J$38&gt;0</formula>
    </cfRule>
  </conditionalFormatting>
  <conditionalFormatting sqref="K1646:K1650">
    <cfRule type="cellIs" dxfId="533" priority="526" operator="equal">
      <formula>0</formula>
    </cfRule>
  </conditionalFormatting>
  <conditionalFormatting sqref="K1646:K1650">
    <cfRule type="expression" dxfId="532" priority="525">
      <formula>$J$19:$J$38&gt;0</formula>
    </cfRule>
  </conditionalFormatting>
  <conditionalFormatting sqref="F1643">
    <cfRule type="cellIs" dxfId="531" priority="524" operator="equal">
      <formula>"-"</formula>
    </cfRule>
  </conditionalFormatting>
  <conditionalFormatting sqref="F1646:F1650">
    <cfRule type="cellIs" dxfId="530" priority="523" operator="equal">
      <formula>"-"</formula>
    </cfRule>
  </conditionalFormatting>
  <conditionalFormatting sqref="J1691">
    <cfRule type="cellIs" dxfId="529" priority="508" operator="equal">
      <formula>0</formula>
    </cfRule>
  </conditionalFormatting>
  <conditionalFormatting sqref="J1684 H1664:K1683 H1686:J1690 H1693:J1697">
    <cfRule type="cellIs" dxfId="528" priority="521" operator="equal">
      <formula>0</formula>
    </cfRule>
  </conditionalFormatting>
  <conditionalFormatting sqref="E1664:G1683">
    <cfRule type="cellIs" dxfId="527" priority="520" operator="equal">
      <formula>"-"</formula>
    </cfRule>
  </conditionalFormatting>
  <conditionalFormatting sqref="J1698">
    <cfRule type="cellIs" dxfId="526" priority="519" operator="equal">
      <formula>0</formula>
    </cfRule>
  </conditionalFormatting>
  <conditionalFormatting sqref="J1700:J1702">
    <cfRule type="cellIs" dxfId="525" priority="518" operator="equal">
      <formula>0</formula>
    </cfRule>
  </conditionalFormatting>
  <conditionalFormatting sqref="E1686:E1690 G1686:G1690">
    <cfRule type="cellIs" dxfId="524" priority="517" operator="equal">
      <formula>"-"</formula>
    </cfRule>
  </conditionalFormatting>
  <conditionalFormatting sqref="E1693:E1697 G1693:G1697">
    <cfRule type="cellIs" dxfId="523" priority="516" operator="equal">
      <formula>"-"</formula>
    </cfRule>
  </conditionalFormatting>
  <conditionalFormatting sqref="K1664:K1683">
    <cfRule type="expression" dxfId="522" priority="515">
      <formula>$J$19:$J$38&gt;0</formula>
    </cfRule>
  </conditionalFormatting>
  <conditionalFormatting sqref="K1686:K1690">
    <cfRule type="cellIs" dxfId="521" priority="514" operator="equal">
      <formula>0</formula>
    </cfRule>
  </conditionalFormatting>
  <conditionalFormatting sqref="K1686:K1690">
    <cfRule type="expression" dxfId="520" priority="513">
      <formula>$J$19:$J$38&gt;0</formula>
    </cfRule>
  </conditionalFormatting>
  <conditionalFormatting sqref="K1693:K1697">
    <cfRule type="cellIs" dxfId="519" priority="512" operator="equal">
      <formula>0</formula>
    </cfRule>
  </conditionalFormatting>
  <conditionalFormatting sqref="K1693:K1697">
    <cfRule type="expression" dxfId="518" priority="511">
      <formula>$J$19:$J$38&gt;0</formula>
    </cfRule>
  </conditionalFormatting>
  <conditionalFormatting sqref="F1690">
    <cfRule type="cellIs" dxfId="517" priority="510" operator="equal">
      <formula>"-"</formula>
    </cfRule>
  </conditionalFormatting>
  <conditionalFormatting sqref="F1693:F1697">
    <cfRule type="cellIs" dxfId="516" priority="509" operator="equal">
      <formula>"-"</formula>
    </cfRule>
  </conditionalFormatting>
  <conditionalFormatting sqref="J1738">
    <cfRule type="cellIs" dxfId="515" priority="494" operator="equal">
      <formula>0</formula>
    </cfRule>
  </conditionalFormatting>
  <conditionalFormatting sqref="J1731 H1711:K1730 H1733:J1737 H1740:J1744">
    <cfRule type="cellIs" dxfId="514" priority="507" operator="equal">
      <formula>0</formula>
    </cfRule>
  </conditionalFormatting>
  <conditionalFormatting sqref="E1711:G1730">
    <cfRule type="cellIs" dxfId="513" priority="506" operator="equal">
      <formula>"-"</formula>
    </cfRule>
  </conditionalFormatting>
  <conditionalFormatting sqref="J1745">
    <cfRule type="cellIs" dxfId="512" priority="505" operator="equal">
      <formula>0</formula>
    </cfRule>
  </conditionalFormatting>
  <conditionalFormatting sqref="J1747:J1749">
    <cfRule type="cellIs" dxfId="511" priority="504" operator="equal">
      <formula>0</formula>
    </cfRule>
  </conditionalFormatting>
  <conditionalFormatting sqref="E1733:E1737 G1733:G1737">
    <cfRule type="cellIs" dxfId="510" priority="503" operator="equal">
      <formula>"-"</formula>
    </cfRule>
  </conditionalFormatting>
  <conditionalFormatting sqref="E1740:E1744 G1740:G1744">
    <cfRule type="cellIs" dxfId="509" priority="502" operator="equal">
      <formula>"-"</formula>
    </cfRule>
  </conditionalFormatting>
  <conditionalFormatting sqref="K1711:K1730">
    <cfRule type="expression" dxfId="508" priority="501">
      <formula>$J$19:$J$38&gt;0</formula>
    </cfRule>
  </conditionalFormatting>
  <conditionalFormatting sqref="K1733:K1737">
    <cfRule type="cellIs" dxfId="507" priority="500" operator="equal">
      <formula>0</formula>
    </cfRule>
  </conditionalFormatting>
  <conditionalFormatting sqref="K1733:K1737">
    <cfRule type="expression" dxfId="506" priority="499">
      <formula>$J$19:$J$38&gt;0</formula>
    </cfRule>
  </conditionalFormatting>
  <conditionalFormatting sqref="K1740:K1744">
    <cfRule type="cellIs" dxfId="505" priority="498" operator="equal">
      <formula>0</formula>
    </cfRule>
  </conditionalFormatting>
  <conditionalFormatting sqref="K1740:K1744">
    <cfRule type="expression" dxfId="504" priority="497">
      <formula>$J$19:$J$38&gt;0</formula>
    </cfRule>
  </conditionalFormatting>
  <conditionalFormatting sqref="F1737">
    <cfRule type="cellIs" dxfId="503" priority="496" operator="equal">
      <formula>"-"</formula>
    </cfRule>
  </conditionalFormatting>
  <conditionalFormatting sqref="F1740:F1744">
    <cfRule type="cellIs" dxfId="502" priority="495" operator="equal">
      <formula>"-"</formula>
    </cfRule>
  </conditionalFormatting>
  <conditionalFormatting sqref="J1785">
    <cfRule type="cellIs" dxfId="501" priority="480" operator="equal">
      <formula>0</formula>
    </cfRule>
  </conditionalFormatting>
  <conditionalFormatting sqref="J1778 H1758:K1777 H1780:J1784 H1787:J1791">
    <cfRule type="cellIs" dxfId="500" priority="493" operator="equal">
      <formula>0</formula>
    </cfRule>
  </conditionalFormatting>
  <conditionalFormatting sqref="E1758:G1777">
    <cfRule type="cellIs" dxfId="499" priority="492" operator="equal">
      <formula>"-"</formula>
    </cfRule>
  </conditionalFormatting>
  <conditionalFormatting sqref="J1792">
    <cfRule type="cellIs" dxfId="498" priority="491" operator="equal">
      <formula>0</formula>
    </cfRule>
  </conditionalFormatting>
  <conditionalFormatting sqref="J1794:J1796">
    <cfRule type="cellIs" dxfId="497" priority="490" operator="equal">
      <formula>0</formula>
    </cfRule>
  </conditionalFormatting>
  <conditionalFormatting sqref="E1780:E1784 G1780:G1784">
    <cfRule type="cellIs" dxfId="496" priority="489" operator="equal">
      <formula>"-"</formula>
    </cfRule>
  </conditionalFormatting>
  <conditionalFormatting sqref="E1787:E1791 G1787:G1791">
    <cfRule type="cellIs" dxfId="495" priority="488" operator="equal">
      <formula>"-"</formula>
    </cfRule>
  </conditionalFormatting>
  <conditionalFormatting sqref="K1758:K1777">
    <cfRule type="expression" dxfId="494" priority="487">
      <formula>$J$19:$J$38&gt;0</formula>
    </cfRule>
  </conditionalFormatting>
  <conditionalFormatting sqref="K1780:K1784">
    <cfRule type="cellIs" dxfId="493" priority="486" operator="equal">
      <formula>0</formula>
    </cfRule>
  </conditionalFormatting>
  <conditionalFormatting sqref="K1780:K1784">
    <cfRule type="expression" dxfId="492" priority="485">
      <formula>$J$19:$J$38&gt;0</formula>
    </cfRule>
  </conditionalFormatting>
  <conditionalFormatting sqref="K1787:K1791">
    <cfRule type="cellIs" dxfId="491" priority="484" operator="equal">
      <formula>0</formula>
    </cfRule>
  </conditionalFormatting>
  <conditionalFormatting sqref="K1787:K1791">
    <cfRule type="expression" dxfId="490" priority="483">
      <formula>$J$19:$J$38&gt;0</formula>
    </cfRule>
  </conditionalFormatting>
  <conditionalFormatting sqref="F1784">
    <cfRule type="cellIs" dxfId="489" priority="482" operator="equal">
      <formula>"-"</formula>
    </cfRule>
  </conditionalFormatting>
  <conditionalFormatting sqref="F1787:F1791">
    <cfRule type="cellIs" dxfId="488" priority="481" operator="equal">
      <formula>"-"</formula>
    </cfRule>
  </conditionalFormatting>
  <conditionalFormatting sqref="J1832">
    <cfRule type="cellIs" dxfId="487" priority="466" operator="equal">
      <formula>0</formula>
    </cfRule>
  </conditionalFormatting>
  <conditionalFormatting sqref="J1825 H1805:K1824 H1827:J1831 H1834:J1838">
    <cfRule type="cellIs" dxfId="486" priority="479" operator="equal">
      <formula>0</formula>
    </cfRule>
  </conditionalFormatting>
  <conditionalFormatting sqref="E1805:G1824">
    <cfRule type="cellIs" dxfId="485" priority="478" operator="equal">
      <formula>"-"</formula>
    </cfRule>
  </conditionalFormatting>
  <conditionalFormatting sqref="J1839">
    <cfRule type="cellIs" dxfId="484" priority="477" operator="equal">
      <formula>0</formula>
    </cfRule>
  </conditionalFormatting>
  <conditionalFormatting sqref="J1841:J1843">
    <cfRule type="cellIs" dxfId="483" priority="476" operator="equal">
      <formula>0</formula>
    </cfRule>
  </conditionalFormatting>
  <conditionalFormatting sqref="E1827:E1831 G1827:G1831">
    <cfRule type="cellIs" dxfId="482" priority="475" operator="equal">
      <formula>"-"</formula>
    </cfRule>
  </conditionalFormatting>
  <conditionalFormatting sqref="E1834:E1838 G1834:G1838">
    <cfRule type="cellIs" dxfId="481" priority="474" operator="equal">
      <formula>"-"</formula>
    </cfRule>
  </conditionalFormatting>
  <conditionalFormatting sqref="K1805:K1824">
    <cfRule type="expression" dxfId="480" priority="473">
      <formula>$J$19:$J$38&gt;0</formula>
    </cfRule>
  </conditionalFormatting>
  <conditionalFormatting sqref="K1827:K1831">
    <cfRule type="cellIs" dxfId="479" priority="472" operator="equal">
      <formula>0</formula>
    </cfRule>
  </conditionalFormatting>
  <conditionalFormatting sqref="K1827:K1831">
    <cfRule type="expression" dxfId="478" priority="471">
      <formula>$J$19:$J$38&gt;0</formula>
    </cfRule>
  </conditionalFormatting>
  <conditionalFormatting sqref="K1834:K1838">
    <cfRule type="cellIs" dxfId="477" priority="470" operator="equal">
      <formula>0</formula>
    </cfRule>
  </conditionalFormatting>
  <conditionalFormatting sqref="K1834:K1838">
    <cfRule type="expression" dxfId="476" priority="469">
      <formula>$J$19:$J$38&gt;0</formula>
    </cfRule>
  </conditionalFormatting>
  <conditionalFormatting sqref="F1831">
    <cfRule type="cellIs" dxfId="475" priority="468" operator="equal">
      <formula>"-"</formula>
    </cfRule>
  </conditionalFormatting>
  <conditionalFormatting sqref="F1834:F1838">
    <cfRule type="cellIs" dxfId="474" priority="467" operator="equal">
      <formula>"-"</formula>
    </cfRule>
  </conditionalFormatting>
  <conditionalFormatting sqref="J1879">
    <cfRule type="cellIs" dxfId="473" priority="452" operator="equal">
      <formula>0</formula>
    </cfRule>
  </conditionalFormatting>
  <conditionalFormatting sqref="J1872 H1852:K1871 H1874:J1878 H1881:J1885">
    <cfRule type="cellIs" dxfId="472" priority="465" operator="equal">
      <formula>0</formula>
    </cfRule>
  </conditionalFormatting>
  <conditionalFormatting sqref="E1852:G1871">
    <cfRule type="cellIs" dxfId="471" priority="464" operator="equal">
      <formula>"-"</formula>
    </cfRule>
  </conditionalFormatting>
  <conditionalFormatting sqref="J1886">
    <cfRule type="cellIs" dxfId="470" priority="463" operator="equal">
      <formula>0</formula>
    </cfRule>
  </conditionalFormatting>
  <conditionalFormatting sqref="J1888:J1890">
    <cfRule type="cellIs" dxfId="469" priority="462" operator="equal">
      <formula>0</formula>
    </cfRule>
  </conditionalFormatting>
  <conditionalFormatting sqref="E1874:E1878 G1874:G1878">
    <cfRule type="cellIs" dxfId="468" priority="461" operator="equal">
      <formula>"-"</formula>
    </cfRule>
  </conditionalFormatting>
  <conditionalFormatting sqref="E1881:E1885 G1881:G1885">
    <cfRule type="cellIs" dxfId="467" priority="460" operator="equal">
      <formula>"-"</formula>
    </cfRule>
  </conditionalFormatting>
  <conditionalFormatting sqref="K1852:K1871">
    <cfRule type="expression" dxfId="466" priority="459">
      <formula>$J$19:$J$38&gt;0</formula>
    </cfRule>
  </conditionalFormatting>
  <conditionalFormatting sqref="K1874:K1878">
    <cfRule type="cellIs" dxfId="465" priority="458" operator="equal">
      <formula>0</formula>
    </cfRule>
  </conditionalFormatting>
  <conditionalFormatting sqref="K1874:K1878">
    <cfRule type="expression" dxfId="464" priority="457">
      <formula>$J$19:$J$38&gt;0</formula>
    </cfRule>
  </conditionalFormatting>
  <conditionalFormatting sqref="K1881:K1885">
    <cfRule type="cellIs" dxfId="463" priority="456" operator="equal">
      <formula>0</formula>
    </cfRule>
  </conditionalFormatting>
  <conditionalFormatting sqref="K1881:K1885">
    <cfRule type="expression" dxfId="462" priority="455">
      <formula>$J$19:$J$38&gt;0</formula>
    </cfRule>
  </conditionalFormatting>
  <conditionalFormatting sqref="F1878">
    <cfRule type="cellIs" dxfId="461" priority="454" operator="equal">
      <formula>"-"</formula>
    </cfRule>
  </conditionalFormatting>
  <conditionalFormatting sqref="F1881:F1885">
    <cfRule type="cellIs" dxfId="460" priority="453" operator="equal">
      <formula>"-"</formula>
    </cfRule>
  </conditionalFormatting>
  <conditionalFormatting sqref="J1926">
    <cfRule type="cellIs" dxfId="459" priority="438" operator="equal">
      <formula>0</formula>
    </cfRule>
  </conditionalFormatting>
  <conditionalFormatting sqref="J1919 H1899:K1918 H1921:J1925 H1928:J1932">
    <cfRule type="cellIs" dxfId="458" priority="451" operator="equal">
      <formula>0</formula>
    </cfRule>
  </conditionalFormatting>
  <conditionalFormatting sqref="E1899:G1918">
    <cfRule type="cellIs" dxfId="457" priority="450" operator="equal">
      <formula>"-"</formula>
    </cfRule>
  </conditionalFormatting>
  <conditionalFormatting sqref="J1933">
    <cfRule type="cellIs" dxfId="456" priority="449" operator="equal">
      <formula>0</formula>
    </cfRule>
  </conditionalFormatting>
  <conditionalFormatting sqref="J1935:J1937">
    <cfRule type="cellIs" dxfId="455" priority="448" operator="equal">
      <formula>0</formula>
    </cfRule>
  </conditionalFormatting>
  <conditionalFormatting sqref="E1921:E1925 G1921:G1925">
    <cfRule type="cellIs" dxfId="454" priority="447" operator="equal">
      <formula>"-"</formula>
    </cfRule>
  </conditionalFormatting>
  <conditionalFormatting sqref="E1928:E1932 G1928:G1932">
    <cfRule type="cellIs" dxfId="453" priority="446" operator="equal">
      <formula>"-"</formula>
    </cfRule>
  </conditionalFormatting>
  <conditionalFormatting sqref="K1899:K1918">
    <cfRule type="expression" dxfId="452" priority="445">
      <formula>$J$19:$J$38&gt;0</formula>
    </cfRule>
  </conditionalFormatting>
  <conditionalFormatting sqref="K1921:K1925">
    <cfRule type="cellIs" dxfId="451" priority="444" operator="equal">
      <formula>0</formula>
    </cfRule>
  </conditionalFormatting>
  <conditionalFormatting sqref="K1921:K1925">
    <cfRule type="expression" dxfId="450" priority="443">
      <formula>$J$19:$J$38&gt;0</formula>
    </cfRule>
  </conditionalFormatting>
  <conditionalFormatting sqref="K1928:K1932">
    <cfRule type="cellIs" dxfId="449" priority="442" operator="equal">
      <formula>0</formula>
    </cfRule>
  </conditionalFormatting>
  <conditionalFormatting sqref="K1928:K1932">
    <cfRule type="expression" dxfId="448" priority="441">
      <formula>$J$19:$J$38&gt;0</formula>
    </cfRule>
  </conditionalFormatting>
  <conditionalFormatting sqref="F1925">
    <cfRule type="cellIs" dxfId="447" priority="440" operator="equal">
      <formula>"-"</formula>
    </cfRule>
  </conditionalFormatting>
  <conditionalFormatting sqref="F1928:F1932">
    <cfRule type="cellIs" dxfId="446" priority="439" operator="equal">
      <formula>"-"</formula>
    </cfRule>
  </conditionalFormatting>
  <conditionalFormatting sqref="J1973">
    <cfRule type="cellIs" dxfId="445" priority="424" operator="equal">
      <formula>0</formula>
    </cfRule>
  </conditionalFormatting>
  <conditionalFormatting sqref="J1966 H1946:K1965 H1968:J1972 H1975:J1979">
    <cfRule type="cellIs" dxfId="444" priority="437" operator="equal">
      <formula>0</formula>
    </cfRule>
  </conditionalFormatting>
  <conditionalFormatting sqref="E1946:G1965">
    <cfRule type="cellIs" dxfId="443" priority="436" operator="equal">
      <formula>"-"</formula>
    </cfRule>
  </conditionalFormatting>
  <conditionalFormatting sqref="J1980">
    <cfRule type="cellIs" dxfId="442" priority="435" operator="equal">
      <formula>0</formula>
    </cfRule>
  </conditionalFormatting>
  <conditionalFormatting sqref="J1982:J1984">
    <cfRule type="cellIs" dxfId="441" priority="434" operator="equal">
      <formula>0</formula>
    </cfRule>
  </conditionalFormatting>
  <conditionalFormatting sqref="E1968:E1972 G1968:G1972">
    <cfRule type="cellIs" dxfId="440" priority="433" operator="equal">
      <formula>"-"</formula>
    </cfRule>
  </conditionalFormatting>
  <conditionalFormatting sqref="E1975:E1979 G1975:G1979">
    <cfRule type="cellIs" dxfId="439" priority="432" operator="equal">
      <formula>"-"</formula>
    </cfRule>
  </conditionalFormatting>
  <conditionalFormatting sqref="K1946:K1965">
    <cfRule type="expression" dxfId="438" priority="431">
      <formula>$J$19:$J$38&gt;0</formula>
    </cfRule>
  </conditionalFormatting>
  <conditionalFormatting sqref="K1968:K1972">
    <cfRule type="expression" dxfId="437" priority="429">
      <formula>$J$19:$J$38&gt;0</formula>
    </cfRule>
  </conditionalFormatting>
  <conditionalFormatting sqref="K1975:K1979">
    <cfRule type="cellIs" dxfId="436" priority="428" operator="equal">
      <formula>0</formula>
    </cfRule>
  </conditionalFormatting>
  <conditionalFormatting sqref="K1975:K1979">
    <cfRule type="expression" dxfId="435" priority="427">
      <formula>$J$19:$J$38&gt;0</formula>
    </cfRule>
  </conditionalFormatting>
  <conditionalFormatting sqref="F1972">
    <cfRule type="cellIs" dxfId="434" priority="426" operator="equal">
      <formula>"-"</formula>
    </cfRule>
  </conditionalFormatting>
  <conditionalFormatting sqref="F1975:F1979">
    <cfRule type="cellIs" dxfId="433" priority="425" operator="equal">
      <formula>"-"</formula>
    </cfRule>
  </conditionalFormatting>
  <conditionalFormatting sqref="J2020">
    <cfRule type="cellIs" dxfId="432" priority="410" operator="equal">
      <formula>0</formula>
    </cfRule>
  </conditionalFormatting>
  <conditionalFormatting sqref="J2013 H1993:K2012 H2015:J2019 H2022:J2026">
    <cfRule type="cellIs" dxfId="431" priority="423" operator="equal">
      <formula>0</formula>
    </cfRule>
  </conditionalFormatting>
  <conditionalFormatting sqref="E1993:G2012">
    <cfRule type="cellIs" dxfId="430" priority="422" operator="equal">
      <formula>"-"</formula>
    </cfRule>
  </conditionalFormatting>
  <conditionalFormatting sqref="J2027">
    <cfRule type="cellIs" dxfId="429" priority="421" operator="equal">
      <formula>0</formula>
    </cfRule>
  </conditionalFormatting>
  <conditionalFormatting sqref="J2029:J2031">
    <cfRule type="cellIs" dxfId="428" priority="420" operator="equal">
      <formula>0</formula>
    </cfRule>
  </conditionalFormatting>
  <conditionalFormatting sqref="E2015:E2019 G2015:G2019">
    <cfRule type="cellIs" dxfId="427" priority="419" operator="equal">
      <formula>"-"</formula>
    </cfRule>
  </conditionalFormatting>
  <conditionalFormatting sqref="E2022:E2026 G2022:G2026">
    <cfRule type="cellIs" dxfId="426" priority="418" operator="equal">
      <formula>"-"</formula>
    </cfRule>
  </conditionalFormatting>
  <conditionalFormatting sqref="K1993:K2012">
    <cfRule type="expression" dxfId="425" priority="417">
      <formula>$J$19:$J$38&gt;0</formula>
    </cfRule>
  </conditionalFormatting>
  <conditionalFormatting sqref="K2015:K2019">
    <cfRule type="cellIs" dxfId="424" priority="416" operator="equal">
      <formula>0</formula>
    </cfRule>
  </conditionalFormatting>
  <conditionalFormatting sqref="K2015:K2019">
    <cfRule type="expression" dxfId="423" priority="415">
      <formula>$J$19:$J$38&gt;0</formula>
    </cfRule>
  </conditionalFormatting>
  <conditionalFormatting sqref="K2022:K2026">
    <cfRule type="cellIs" dxfId="422" priority="414" operator="equal">
      <formula>0</formula>
    </cfRule>
  </conditionalFormatting>
  <conditionalFormatting sqref="K2022:K2026">
    <cfRule type="expression" dxfId="421" priority="413">
      <formula>$J$19:$J$38&gt;0</formula>
    </cfRule>
  </conditionalFormatting>
  <conditionalFormatting sqref="F2019">
    <cfRule type="cellIs" dxfId="420" priority="412" operator="equal">
      <formula>"-"</formula>
    </cfRule>
  </conditionalFormatting>
  <conditionalFormatting sqref="F2022:F2026">
    <cfRule type="cellIs" dxfId="419" priority="411" operator="equal">
      <formula>"-"</formula>
    </cfRule>
  </conditionalFormatting>
  <conditionalFormatting sqref="J2060 H2040:K2059 H2062:J2066 H2069:J2073">
    <cfRule type="cellIs" dxfId="418" priority="409" operator="equal">
      <formula>0</formula>
    </cfRule>
  </conditionalFormatting>
  <conditionalFormatting sqref="E2040:G2059">
    <cfRule type="cellIs" dxfId="417" priority="408" operator="equal">
      <formula>"-"</formula>
    </cfRule>
  </conditionalFormatting>
  <conditionalFormatting sqref="J2074">
    <cfRule type="cellIs" dxfId="416" priority="407" operator="equal">
      <formula>0</formula>
    </cfRule>
  </conditionalFormatting>
  <conditionalFormatting sqref="J2076:J2078">
    <cfRule type="cellIs" dxfId="415" priority="406" operator="equal">
      <formula>0</formula>
    </cfRule>
  </conditionalFormatting>
  <conditionalFormatting sqref="E2062:E2066 G2062:G2066">
    <cfRule type="cellIs" dxfId="414" priority="405" operator="equal">
      <formula>"-"</formula>
    </cfRule>
  </conditionalFormatting>
  <conditionalFormatting sqref="E2069:E2073 G2069:G2073">
    <cfRule type="cellIs" dxfId="413" priority="404" operator="equal">
      <formula>"-"</formula>
    </cfRule>
  </conditionalFormatting>
  <conditionalFormatting sqref="K2040:K2059">
    <cfRule type="expression" dxfId="412" priority="403">
      <formula>$J$19:$J$38&gt;0</formula>
    </cfRule>
  </conditionalFormatting>
  <conditionalFormatting sqref="K2062:K2066">
    <cfRule type="cellIs" dxfId="411" priority="402" operator="equal">
      <formula>0</formula>
    </cfRule>
  </conditionalFormatting>
  <conditionalFormatting sqref="K2062:K2066">
    <cfRule type="expression" dxfId="410" priority="401">
      <formula>$J$19:$J$38&gt;0</formula>
    </cfRule>
  </conditionalFormatting>
  <conditionalFormatting sqref="K2069:K2073">
    <cfRule type="cellIs" dxfId="409" priority="400" operator="equal">
      <formula>0</formula>
    </cfRule>
  </conditionalFormatting>
  <conditionalFormatting sqref="K2069:K2073">
    <cfRule type="expression" dxfId="408" priority="399">
      <formula>$J$19:$J$38&gt;0</formula>
    </cfRule>
  </conditionalFormatting>
  <conditionalFormatting sqref="F2066">
    <cfRule type="cellIs" dxfId="407" priority="398" operator="equal">
      <formula>"-"</formula>
    </cfRule>
  </conditionalFormatting>
  <conditionalFormatting sqref="F2069:F2073">
    <cfRule type="cellIs" dxfId="406" priority="397" operator="equal">
      <formula>"-"</formula>
    </cfRule>
  </conditionalFormatting>
  <conditionalFormatting sqref="J2114">
    <cfRule type="cellIs" dxfId="405" priority="382" operator="equal">
      <formula>0</formula>
    </cfRule>
  </conditionalFormatting>
  <conditionalFormatting sqref="J2107 H2087:K2106 H2109:J2113 H2116:J2120">
    <cfRule type="cellIs" dxfId="404" priority="395" operator="equal">
      <formula>0</formula>
    </cfRule>
  </conditionalFormatting>
  <conditionalFormatting sqref="E2087:G2106">
    <cfRule type="cellIs" dxfId="403" priority="394" operator="equal">
      <formula>"-"</formula>
    </cfRule>
  </conditionalFormatting>
  <conditionalFormatting sqref="J2121">
    <cfRule type="cellIs" dxfId="402" priority="393" operator="equal">
      <formula>0</formula>
    </cfRule>
  </conditionalFormatting>
  <conditionalFormatting sqref="J2123:J2125">
    <cfRule type="cellIs" dxfId="401" priority="392" operator="equal">
      <formula>0</formula>
    </cfRule>
  </conditionalFormatting>
  <conditionalFormatting sqref="E2109:E2113 G2109:G2113">
    <cfRule type="cellIs" dxfId="400" priority="391" operator="equal">
      <formula>"-"</formula>
    </cfRule>
  </conditionalFormatting>
  <conditionalFormatting sqref="E2116:E2120 G2116:G2120">
    <cfRule type="cellIs" dxfId="399" priority="390" operator="equal">
      <formula>"-"</formula>
    </cfRule>
  </conditionalFormatting>
  <conditionalFormatting sqref="K2087:K2106">
    <cfRule type="expression" dxfId="398" priority="389">
      <formula>$J$19:$J$38&gt;0</formula>
    </cfRule>
  </conditionalFormatting>
  <conditionalFormatting sqref="K2109:K2113">
    <cfRule type="cellIs" dxfId="397" priority="388" operator="equal">
      <formula>0</formula>
    </cfRule>
  </conditionalFormatting>
  <conditionalFormatting sqref="K2109:K2113">
    <cfRule type="expression" dxfId="396" priority="387">
      <formula>$J$19:$J$38&gt;0</formula>
    </cfRule>
  </conditionalFormatting>
  <conditionalFormatting sqref="K2116:K2120">
    <cfRule type="cellIs" dxfId="395" priority="386" operator="equal">
      <formula>0</formula>
    </cfRule>
  </conditionalFormatting>
  <conditionalFormatting sqref="K2116:K2120">
    <cfRule type="expression" dxfId="394" priority="385">
      <formula>$J$19:$J$38&gt;0</formula>
    </cfRule>
  </conditionalFormatting>
  <conditionalFormatting sqref="F2113">
    <cfRule type="cellIs" dxfId="393" priority="384" operator="equal">
      <formula>"-"</formula>
    </cfRule>
  </conditionalFormatting>
  <conditionalFormatting sqref="F2116:F2120">
    <cfRule type="cellIs" dxfId="392" priority="383" operator="equal">
      <formula>"-"</formula>
    </cfRule>
  </conditionalFormatting>
  <conditionalFormatting sqref="J2161">
    <cfRule type="cellIs" dxfId="391" priority="368" operator="equal">
      <formula>0</formula>
    </cfRule>
  </conditionalFormatting>
  <conditionalFormatting sqref="J2154 H2134:K2153 H2156:J2160 H2163:J2167">
    <cfRule type="cellIs" dxfId="390" priority="381" operator="equal">
      <formula>0</formula>
    </cfRule>
  </conditionalFormatting>
  <conditionalFormatting sqref="E2134:G2153">
    <cfRule type="cellIs" dxfId="389" priority="380" operator="equal">
      <formula>"-"</formula>
    </cfRule>
  </conditionalFormatting>
  <conditionalFormatting sqref="J2168">
    <cfRule type="cellIs" dxfId="388" priority="379" operator="equal">
      <formula>0</formula>
    </cfRule>
  </conditionalFormatting>
  <conditionalFormatting sqref="J2170:J2172">
    <cfRule type="cellIs" dxfId="387" priority="378" operator="equal">
      <formula>0</formula>
    </cfRule>
  </conditionalFormatting>
  <conditionalFormatting sqref="E2156:E2160 G2156:G2160">
    <cfRule type="cellIs" dxfId="386" priority="377" operator="equal">
      <formula>"-"</formula>
    </cfRule>
  </conditionalFormatting>
  <conditionalFormatting sqref="E2163:E2167 G2163:G2167">
    <cfRule type="cellIs" dxfId="385" priority="376" operator="equal">
      <formula>"-"</formula>
    </cfRule>
  </conditionalFormatting>
  <conditionalFormatting sqref="K2134:K2153">
    <cfRule type="expression" dxfId="384" priority="375">
      <formula>$J$19:$J$38&gt;0</formula>
    </cfRule>
  </conditionalFormatting>
  <conditionalFormatting sqref="K2156:K2160">
    <cfRule type="cellIs" dxfId="383" priority="374" operator="equal">
      <formula>0</formula>
    </cfRule>
  </conditionalFormatting>
  <conditionalFormatting sqref="K2156:K2160">
    <cfRule type="expression" dxfId="382" priority="373">
      <formula>$J$19:$J$38&gt;0</formula>
    </cfRule>
  </conditionalFormatting>
  <conditionalFormatting sqref="K2163:K2167">
    <cfRule type="cellIs" dxfId="381" priority="372" operator="equal">
      <formula>0</formula>
    </cfRule>
  </conditionalFormatting>
  <conditionalFormatting sqref="K2163:K2167">
    <cfRule type="expression" dxfId="380" priority="371">
      <formula>$J$19:$J$38&gt;0</formula>
    </cfRule>
  </conditionalFormatting>
  <conditionalFormatting sqref="F2160">
    <cfRule type="cellIs" dxfId="379" priority="370" operator="equal">
      <formula>"-"</formula>
    </cfRule>
  </conditionalFormatting>
  <conditionalFormatting sqref="F2163:F2167">
    <cfRule type="cellIs" dxfId="378" priority="369" operator="equal">
      <formula>"-"</formula>
    </cfRule>
  </conditionalFormatting>
  <conditionalFormatting sqref="J2208">
    <cfRule type="cellIs" dxfId="377" priority="354" operator="equal">
      <formula>0</formula>
    </cfRule>
  </conditionalFormatting>
  <conditionalFormatting sqref="J2201 H2181:K2200 H2203:J2207 H2210:J2214">
    <cfRule type="cellIs" dxfId="376" priority="367" operator="equal">
      <formula>0</formula>
    </cfRule>
  </conditionalFormatting>
  <conditionalFormatting sqref="E2181:G2200">
    <cfRule type="cellIs" dxfId="375" priority="366" operator="equal">
      <formula>"-"</formula>
    </cfRule>
  </conditionalFormatting>
  <conditionalFormatting sqref="J2215">
    <cfRule type="cellIs" dxfId="374" priority="365" operator="equal">
      <formula>0</formula>
    </cfRule>
  </conditionalFormatting>
  <conditionalFormatting sqref="J2217:J2219">
    <cfRule type="cellIs" dxfId="373" priority="364" operator="equal">
      <formula>0</formula>
    </cfRule>
  </conditionalFormatting>
  <conditionalFormatting sqref="E2203:E2207 G2203:G2207">
    <cfRule type="cellIs" dxfId="372" priority="363" operator="equal">
      <formula>"-"</formula>
    </cfRule>
  </conditionalFormatting>
  <conditionalFormatting sqref="E2210:E2214 G2210:G2214">
    <cfRule type="cellIs" dxfId="371" priority="362" operator="equal">
      <formula>"-"</formula>
    </cfRule>
  </conditionalFormatting>
  <conditionalFormatting sqref="K2181:K2200">
    <cfRule type="expression" dxfId="370" priority="361">
      <formula>$J$19:$J$38&gt;0</formula>
    </cfRule>
  </conditionalFormatting>
  <conditionalFormatting sqref="K2203:K2207">
    <cfRule type="cellIs" dxfId="369" priority="360" operator="equal">
      <formula>0</formula>
    </cfRule>
  </conditionalFormatting>
  <conditionalFormatting sqref="K2203:K2207">
    <cfRule type="expression" dxfId="368" priority="359">
      <formula>$J$19:$J$38&gt;0</formula>
    </cfRule>
  </conditionalFormatting>
  <conditionalFormatting sqref="K2210:K2214">
    <cfRule type="cellIs" dxfId="367" priority="358" operator="equal">
      <formula>0</formula>
    </cfRule>
  </conditionalFormatting>
  <conditionalFormatting sqref="K2210:K2214">
    <cfRule type="expression" dxfId="366" priority="357">
      <formula>$J$19:$J$38&gt;0</formula>
    </cfRule>
  </conditionalFormatting>
  <conditionalFormatting sqref="F2207">
    <cfRule type="cellIs" dxfId="365" priority="356" operator="equal">
      <formula>"-"</formula>
    </cfRule>
  </conditionalFormatting>
  <conditionalFormatting sqref="F2210:F2214">
    <cfRule type="cellIs" dxfId="364" priority="355" operator="equal">
      <formula>"-"</formula>
    </cfRule>
  </conditionalFormatting>
  <conditionalFormatting sqref="J2255">
    <cfRule type="cellIs" dxfId="363" priority="340" operator="equal">
      <formula>0</formula>
    </cfRule>
  </conditionalFormatting>
  <conditionalFormatting sqref="J2248 H2228:K2247 H2250:J2254 H2257:J2261">
    <cfRule type="cellIs" dxfId="362" priority="353" operator="equal">
      <formula>0</formula>
    </cfRule>
  </conditionalFormatting>
  <conditionalFormatting sqref="E2228:G2247">
    <cfRule type="cellIs" dxfId="361" priority="352" operator="equal">
      <formula>"-"</formula>
    </cfRule>
  </conditionalFormatting>
  <conditionalFormatting sqref="J2262">
    <cfRule type="cellIs" dxfId="360" priority="351" operator="equal">
      <formula>0</formula>
    </cfRule>
  </conditionalFormatting>
  <conditionalFormatting sqref="J2264:J2266">
    <cfRule type="cellIs" dxfId="359" priority="350" operator="equal">
      <formula>0</formula>
    </cfRule>
  </conditionalFormatting>
  <conditionalFormatting sqref="E2250:E2254 G2250:G2254">
    <cfRule type="cellIs" dxfId="358" priority="349" operator="equal">
      <formula>"-"</formula>
    </cfRule>
  </conditionalFormatting>
  <conditionalFormatting sqref="E2257:E2261 G2257:G2261">
    <cfRule type="cellIs" dxfId="357" priority="348" operator="equal">
      <formula>"-"</formula>
    </cfRule>
  </conditionalFormatting>
  <conditionalFormatting sqref="K2228:K2247">
    <cfRule type="expression" dxfId="356" priority="347">
      <formula>$J$19:$J$38&gt;0</formula>
    </cfRule>
  </conditionalFormatting>
  <conditionalFormatting sqref="K2250:K2254">
    <cfRule type="cellIs" dxfId="355" priority="346" operator="equal">
      <formula>0</formula>
    </cfRule>
  </conditionalFormatting>
  <conditionalFormatting sqref="K2250:K2254">
    <cfRule type="expression" dxfId="354" priority="345">
      <formula>$J$19:$J$38&gt;0</formula>
    </cfRule>
  </conditionalFormatting>
  <conditionalFormatting sqref="K2257:K2261">
    <cfRule type="cellIs" dxfId="353" priority="344" operator="equal">
      <formula>0</formula>
    </cfRule>
  </conditionalFormatting>
  <conditionalFormatting sqref="K2257:K2261">
    <cfRule type="expression" dxfId="352" priority="343">
      <formula>$J$19:$J$38&gt;0</formula>
    </cfRule>
  </conditionalFormatting>
  <conditionalFormatting sqref="F2254">
    <cfRule type="cellIs" dxfId="351" priority="342" operator="equal">
      <formula>"-"</formula>
    </cfRule>
  </conditionalFormatting>
  <conditionalFormatting sqref="F2257:F2261">
    <cfRule type="cellIs" dxfId="350" priority="341" operator="equal">
      <formula>"-"</formula>
    </cfRule>
  </conditionalFormatting>
  <conditionalFormatting sqref="J2302">
    <cfRule type="cellIs" dxfId="349" priority="326" operator="equal">
      <formula>0</formula>
    </cfRule>
  </conditionalFormatting>
  <conditionalFormatting sqref="J2295 H2275:K2294 H2297:J2301 H2304:J2308">
    <cfRule type="cellIs" dxfId="348" priority="339" operator="equal">
      <formula>0</formula>
    </cfRule>
  </conditionalFormatting>
  <conditionalFormatting sqref="E2275:G2294">
    <cfRule type="cellIs" dxfId="347" priority="338" operator="equal">
      <formula>"-"</formula>
    </cfRule>
  </conditionalFormatting>
  <conditionalFormatting sqref="J2309">
    <cfRule type="cellIs" dxfId="346" priority="337" operator="equal">
      <formula>0</formula>
    </cfRule>
  </conditionalFormatting>
  <conditionalFormatting sqref="J2311:J2313">
    <cfRule type="cellIs" dxfId="345" priority="336" operator="equal">
      <formula>0</formula>
    </cfRule>
  </conditionalFormatting>
  <conditionalFormatting sqref="E2297:E2301 G2297:G2301">
    <cfRule type="cellIs" dxfId="344" priority="335" operator="equal">
      <formula>"-"</formula>
    </cfRule>
  </conditionalFormatting>
  <conditionalFormatting sqref="E2304:E2308 G2304:G2308">
    <cfRule type="cellIs" dxfId="343" priority="334" operator="equal">
      <formula>"-"</formula>
    </cfRule>
  </conditionalFormatting>
  <conditionalFormatting sqref="K2275:K2294">
    <cfRule type="expression" dxfId="342" priority="333">
      <formula>$J$19:$J$38&gt;0</formula>
    </cfRule>
  </conditionalFormatting>
  <conditionalFormatting sqref="K2297:K2301">
    <cfRule type="cellIs" dxfId="341" priority="332" operator="equal">
      <formula>0</formula>
    </cfRule>
  </conditionalFormatting>
  <conditionalFormatting sqref="K2297:K2301">
    <cfRule type="expression" dxfId="340" priority="331">
      <formula>$J$19:$J$38&gt;0</formula>
    </cfRule>
  </conditionalFormatting>
  <conditionalFormatting sqref="K2304:K2308">
    <cfRule type="cellIs" dxfId="339" priority="330" operator="equal">
      <formula>0</formula>
    </cfRule>
  </conditionalFormatting>
  <conditionalFormatting sqref="K2304:K2308">
    <cfRule type="expression" dxfId="338" priority="329">
      <formula>$J$19:$J$38&gt;0</formula>
    </cfRule>
  </conditionalFormatting>
  <conditionalFormatting sqref="F2301">
    <cfRule type="cellIs" dxfId="337" priority="328" operator="equal">
      <formula>"-"</formula>
    </cfRule>
  </conditionalFormatting>
  <conditionalFormatting sqref="F2304:F2308">
    <cfRule type="cellIs" dxfId="336" priority="327" operator="equal">
      <formula>"-"</formula>
    </cfRule>
  </conditionalFormatting>
  <conditionalFormatting sqref="J2349">
    <cfRule type="cellIs" dxfId="335" priority="312" operator="equal">
      <formula>0</formula>
    </cfRule>
  </conditionalFormatting>
  <conditionalFormatting sqref="J2342 H2322:K2341 H2344:J2348 H2351:J2355">
    <cfRule type="cellIs" dxfId="334" priority="325" operator="equal">
      <formula>0</formula>
    </cfRule>
  </conditionalFormatting>
  <conditionalFormatting sqref="E2322:G2341">
    <cfRule type="cellIs" dxfId="333" priority="324" operator="equal">
      <formula>"-"</formula>
    </cfRule>
  </conditionalFormatting>
  <conditionalFormatting sqref="J2356">
    <cfRule type="cellIs" dxfId="332" priority="323" operator="equal">
      <formula>0</formula>
    </cfRule>
  </conditionalFormatting>
  <conditionalFormatting sqref="J2358:J2360">
    <cfRule type="cellIs" dxfId="331" priority="322" operator="equal">
      <formula>0</formula>
    </cfRule>
  </conditionalFormatting>
  <conditionalFormatting sqref="E2344:E2348 G2344:G2348">
    <cfRule type="cellIs" dxfId="330" priority="321" operator="equal">
      <formula>"-"</formula>
    </cfRule>
  </conditionalFormatting>
  <conditionalFormatting sqref="E2351:E2355 G2351:G2355">
    <cfRule type="cellIs" dxfId="329" priority="320" operator="equal">
      <formula>"-"</formula>
    </cfRule>
  </conditionalFormatting>
  <conditionalFormatting sqref="K2322:K2341">
    <cfRule type="expression" dxfId="328" priority="319">
      <formula>$J$19:$J$38&gt;0</formula>
    </cfRule>
  </conditionalFormatting>
  <conditionalFormatting sqref="K2344:K2348">
    <cfRule type="cellIs" dxfId="327" priority="318" operator="equal">
      <formula>0</formula>
    </cfRule>
  </conditionalFormatting>
  <conditionalFormatting sqref="K2344:K2348">
    <cfRule type="expression" dxfId="326" priority="317">
      <formula>$J$19:$J$38&gt;0</formula>
    </cfRule>
  </conditionalFormatting>
  <conditionalFormatting sqref="K2351:K2355">
    <cfRule type="cellIs" dxfId="325" priority="316" operator="equal">
      <formula>0</formula>
    </cfRule>
  </conditionalFormatting>
  <conditionalFormatting sqref="K2351:K2355">
    <cfRule type="expression" dxfId="324" priority="315">
      <formula>$J$19:$J$38&gt;0</formula>
    </cfRule>
  </conditionalFormatting>
  <conditionalFormatting sqref="F2348">
    <cfRule type="cellIs" dxfId="323" priority="314" operator="equal">
      <formula>"-"</formula>
    </cfRule>
  </conditionalFormatting>
  <conditionalFormatting sqref="F2351:F2355">
    <cfRule type="cellIs" dxfId="322" priority="313" operator="equal">
      <formula>"-"</formula>
    </cfRule>
  </conditionalFormatting>
  <conditionalFormatting sqref="J2396">
    <cfRule type="cellIs" dxfId="321" priority="298" operator="equal">
      <formula>0</formula>
    </cfRule>
  </conditionalFormatting>
  <conditionalFormatting sqref="J2389 H2391:J2395 H2398:J2402 H2369:K2388">
    <cfRule type="cellIs" dxfId="320" priority="311" operator="equal">
      <formula>0</formula>
    </cfRule>
  </conditionalFormatting>
  <conditionalFormatting sqref="E2369:G2388">
    <cfRule type="cellIs" dxfId="319" priority="310" operator="equal">
      <formula>"-"</formula>
    </cfRule>
  </conditionalFormatting>
  <conditionalFormatting sqref="J2403">
    <cfRule type="cellIs" dxfId="318" priority="309" operator="equal">
      <formula>0</formula>
    </cfRule>
  </conditionalFormatting>
  <conditionalFormatting sqref="J2405:J2407">
    <cfRule type="cellIs" dxfId="317" priority="308" operator="equal">
      <formula>0</formula>
    </cfRule>
  </conditionalFormatting>
  <conditionalFormatting sqref="E2391:E2395 G2391:G2395">
    <cfRule type="cellIs" dxfId="316" priority="307" operator="equal">
      <formula>"-"</formula>
    </cfRule>
  </conditionalFormatting>
  <conditionalFormatting sqref="E2398:E2402 G2398:G2402">
    <cfRule type="cellIs" dxfId="315" priority="306" operator="equal">
      <formula>"-"</formula>
    </cfRule>
  </conditionalFormatting>
  <conditionalFormatting sqref="K2369:K2388">
    <cfRule type="expression" dxfId="314" priority="305">
      <formula>$J$19:$J$38&gt;0</formula>
    </cfRule>
  </conditionalFormatting>
  <conditionalFormatting sqref="K2391:K2395">
    <cfRule type="cellIs" dxfId="313" priority="304" operator="equal">
      <formula>0</formula>
    </cfRule>
  </conditionalFormatting>
  <conditionalFormatting sqref="K2391:K2395">
    <cfRule type="expression" dxfId="312" priority="303">
      <formula>$J$19:$J$38&gt;0</formula>
    </cfRule>
  </conditionalFormatting>
  <conditionalFormatting sqref="K2398:K2402">
    <cfRule type="cellIs" dxfId="311" priority="302" operator="equal">
      <formula>0</formula>
    </cfRule>
  </conditionalFormatting>
  <conditionalFormatting sqref="K2398:K2402">
    <cfRule type="expression" dxfId="310" priority="301">
      <formula>$J$19:$J$38&gt;0</formula>
    </cfRule>
  </conditionalFormatting>
  <conditionalFormatting sqref="F2395">
    <cfRule type="cellIs" dxfId="309" priority="300" operator="equal">
      <formula>"-"</formula>
    </cfRule>
  </conditionalFormatting>
  <conditionalFormatting sqref="F2398:F2402">
    <cfRule type="cellIs" dxfId="308" priority="299" operator="equal">
      <formula>"-"</formula>
    </cfRule>
  </conditionalFormatting>
  <conditionalFormatting sqref="J2443">
    <cfRule type="cellIs" dxfId="307" priority="284" operator="equal">
      <formula>0</formula>
    </cfRule>
  </conditionalFormatting>
  <conditionalFormatting sqref="J2436 H2416:K2435 H2438:J2442 H2445:J2449">
    <cfRule type="cellIs" dxfId="306" priority="297" operator="equal">
      <formula>0</formula>
    </cfRule>
  </conditionalFormatting>
  <conditionalFormatting sqref="E2416:G2435">
    <cfRule type="cellIs" dxfId="305" priority="296" operator="equal">
      <formula>"-"</formula>
    </cfRule>
  </conditionalFormatting>
  <conditionalFormatting sqref="J2450">
    <cfRule type="cellIs" dxfId="304" priority="295" operator="equal">
      <formula>0</formula>
    </cfRule>
  </conditionalFormatting>
  <conditionalFormatting sqref="J2452:J2454">
    <cfRule type="cellIs" dxfId="303" priority="294" operator="equal">
      <formula>0</formula>
    </cfRule>
  </conditionalFormatting>
  <conditionalFormatting sqref="E2438:E2442 G2438:G2442">
    <cfRule type="cellIs" dxfId="302" priority="293" operator="equal">
      <formula>"-"</formula>
    </cfRule>
  </conditionalFormatting>
  <conditionalFormatting sqref="E2445:E2449 G2445:G2449">
    <cfRule type="cellIs" dxfId="301" priority="292" operator="equal">
      <formula>"-"</formula>
    </cfRule>
  </conditionalFormatting>
  <conditionalFormatting sqref="K2416:K2435">
    <cfRule type="expression" dxfId="300" priority="291">
      <formula>$J$19:$J$38&gt;0</formula>
    </cfRule>
  </conditionalFormatting>
  <conditionalFormatting sqref="K2438:K2442">
    <cfRule type="cellIs" dxfId="299" priority="290" operator="equal">
      <formula>0</formula>
    </cfRule>
  </conditionalFormatting>
  <conditionalFormatting sqref="K2438:K2442">
    <cfRule type="expression" dxfId="298" priority="289">
      <formula>$J$19:$J$38&gt;0</formula>
    </cfRule>
  </conditionalFormatting>
  <conditionalFormatting sqref="K2445:K2449">
    <cfRule type="cellIs" dxfId="297" priority="288" operator="equal">
      <formula>0</formula>
    </cfRule>
  </conditionalFormatting>
  <conditionalFormatting sqref="K2445:K2449">
    <cfRule type="expression" dxfId="296" priority="287">
      <formula>$J$19:$J$38&gt;0</formula>
    </cfRule>
  </conditionalFormatting>
  <conditionalFormatting sqref="F2442">
    <cfRule type="cellIs" dxfId="295" priority="286" operator="equal">
      <formula>"-"</formula>
    </cfRule>
  </conditionalFormatting>
  <conditionalFormatting sqref="F2445:F2449">
    <cfRule type="cellIs" dxfId="294" priority="285" operator="equal">
      <formula>"-"</formula>
    </cfRule>
  </conditionalFormatting>
  <conditionalFormatting sqref="J2490">
    <cfRule type="cellIs" dxfId="293" priority="270" operator="equal">
      <formula>0</formula>
    </cfRule>
  </conditionalFormatting>
  <conditionalFormatting sqref="J2483 H2463:K2482 H2485:J2489 H2492:J2496">
    <cfRule type="cellIs" dxfId="292" priority="283" operator="equal">
      <formula>0</formula>
    </cfRule>
  </conditionalFormatting>
  <conditionalFormatting sqref="E2463:G2482">
    <cfRule type="cellIs" dxfId="291" priority="282" operator="equal">
      <formula>"-"</formula>
    </cfRule>
  </conditionalFormatting>
  <conditionalFormatting sqref="J2497">
    <cfRule type="cellIs" dxfId="290" priority="281" operator="equal">
      <formula>0</formula>
    </cfRule>
  </conditionalFormatting>
  <conditionalFormatting sqref="J2499:J2501">
    <cfRule type="cellIs" dxfId="289" priority="280" operator="equal">
      <formula>0</formula>
    </cfRule>
  </conditionalFormatting>
  <conditionalFormatting sqref="E2485:E2489 G2485:G2489">
    <cfRule type="cellIs" dxfId="288" priority="279" operator="equal">
      <formula>"-"</formula>
    </cfRule>
  </conditionalFormatting>
  <conditionalFormatting sqref="E2492:E2496 G2492:G2496">
    <cfRule type="cellIs" dxfId="287" priority="278" operator="equal">
      <formula>"-"</formula>
    </cfRule>
  </conditionalFormatting>
  <conditionalFormatting sqref="K2463:K2482">
    <cfRule type="expression" dxfId="286" priority="277">
      <formula>$J$19:$J$38&gt;0</formula>
    </cfRule>
  </conditionalFormatting>
  <conditionalFormatting sqref="K2485:K2489">
    <cfRule type="cellIs" dxfId="285" priority="276" operator="equal">
      <formula>0</formula>
    </cfRule>
  </conditionalFormatting>
  <conditionalFormatting sqref="K2485:K2489">
    <cfRule type="expression" dxfId="284" priority="275">
      <formula>$J$19:$J$38&gt;0</formula>
    </cfRule>
  </conditionalFormatting>
  <conditionalFormatting sqref="K2492:K2496">
    <cfRule type="cellIs" dxfId="283" priority="274" operator="equal">
      <formula>0</formula>
    </cfRule>
  </conditionalFormatting>
  <conditionalFormatting sqref="K2492:K2496">
    <cfRule type="expression" dxfId="282" priority="273">
      <formula>$J$19:$J$38&gt;0</formula>
    </cfRule>
  </conditionalFormatting>
  <conditionalFormatting sqref="F2489">
    <cfRule type="cellIs" dxfId="281" priority="272" operator="equal">
      <formula>"-"</formula>
    </cfRule>
  </conditionalFormatting>
  <conditionalFormatting sqref="F2492:F2496">
    <cfRule type="cellIs" dxfId="280" priority="271" operator="equal">
      <formula>"-"</formula>
    </cfRule>
  </conditionalFormatting>
  <conditionalFormatting sqref="J2537">
    <cfRule type="cellIs" dxfId="279" priority="256" operator="equal">
      <formula>0</formula>
    </cfRule>
  </conditionalFormatting>
  <conditionalFormatting sqref="J2530 H2510:K2529 H2532:J2536 H2539:J2543">
    <cfRule type="cellIs" dxfId="278" priority="269" operator="equal">
      <formula>0</formula>
    </cfRule>
  </conditionalFormatting>
  <conditionalFormatting sqref="E2510:G2529">
    <cfRule type="cellIs" dxfId="277" priority="268" operator="equal">
      <formula>"-"</formula>
    </cfRule>
  </conditionalFormatting>
  <conditionalFormatting sqref="J2544">
    <cfRule type="cellIs" dxfId="276" priority="267" operator="equal">
      <formula>0</formula>
    </cfRule>
  </conditionalFormatting>
  <conditionalFormatting sqref="J2546:J2548">
    <cfRule type="cellIs" dxfId="275" priority="266" operator="equal">
      <formula>0</formula>
    </cfRule>
  </conditionalFormatting>
  <conditionalFormatting sqref="E2532:E2536 G2532:G2536">
    <cfRule type="cellIs" dxfId="274" priority="265" operator="equal">
      <formula>"-"</formula>
    </cfRule>
  </conditionalFormatting>
  <conditionalFormatting sqref="E2539:E2543 G2539:G2543">
    <cfRule type="cellIs" dxfId="273" priority="264" operator="equal">
      <formula>"-"</formula>
    </cfRule>
  </conditionalFormatting>
  <conditionalFormatting sqref="K2510:K2529">
    <cfRule type="expression" dxfId="272" priority="263">
      <formula>$J$19:$J$38&gt;0</formula>
    </cfRule>
  </conditionalFormatting>
  <conditionalFormatting sqref="K2532:K2536">
    <cfRule type="cellIs" dxfId="271" priority="262" operator="equal">
      <formula>0</formula>
    </cfRule>
  </conditionalFormatting>
  <conditionalFormatting sqref="K2532:K2536">
    <cfRule type="expression" dxfId="270" priority="261">
      <formula>$J$19:$J$38&gt;0</formula>
    </cfRule>
  </conditionalFormatting>
  <conditionalFormatting sqref="K2539:K2543">
    <cfRule type="cellIs" dxfId="269" priority="260" operator="equal">
      <formula>0</formula>
    </cfRule>
  </conditionalFormatting>
  <conditionalFormatting sqref="K2539:K2543">
    <cfRule type="expression" dxfId="268" priority="259">
      <formula>$J$19:$J$38&gt;0</formula>
    </cfRule>
  </conditionalFormatting>
  <conditionalFormatting sqref="F2536">
    <cfRule type="cellIs" dxfId="267" priority="258" operator="equal">
      <formula>"-"</formula>
    </cfRule>
  </conditionalFormatting>
  <conditionalFormatting sqref="F2539:F2543">
    <cfRule type="cellIs" dxfId="266" priority="257" operator="equal">
      <formula>"-"</formula>
    </cfRule>
  </conditionalFormatting>
  <conditionalFormatting sqref="J2584">
    <cfRule type="cellIs" dxfId="265" priority="242" operator="equal">
      <formula>0</formula>
    </cfRule>
  </conditionalFormatting>
  <conditionalFormatting sqref="J2577 H2557:K2576 H2579:J2583 H2586:J2590">
    <cfRule type="cellIs" dxfId="264" priority="255" operator="equal">
      <formula>0</formula>
    </cfRule>
  </conditionalFormatting>
  <conditionalFormatting sqref="E2557:G2576">
    <cfRule type="cellIs" dxfId="263" priority="254" operator="equal">
      <formula>"-"</formula>
    </cfRule>
  </conditionalFormatting>
  <conditionalFormatting sqref="J2591">
    <cfRule type="cellIs" dxfId="262" priority="253" operator="equal">
      <formula>0</formula>
    </cfRule>
  </conditionalFormatting>
  <conditionalFormatting sqref="J2593:J2595">
    <cfRule type="cellIs" dxfId="261" priority="252" operator="equal">
      <formula>0</formula>
    </cfRule>
  </conditionalFormatting>
  <conditionalFormatting sqref="E2579:E2583 G2579:G2583">
    <cfRule type="cellIs" dxfId="260" priority="251" operator="equal">
      <formula>"-"</formula>
    </cfRule>
  </conditionalFormatting>
  <conditionalFormatting sqref="E2586:E2590 G2586:G2590">
    <cfRule type="cellIs" dxfId="259" priority="250" operator="equal">
      <formula>"-"</formula>
    </cfRule>
  </conditionalFormatting>
  <conditionalFormatting sqref="K2557:K2576">
    <cfRule type="expression" dxfId="258" priority="249">
      <formula>$J$19:$J$38&gt;0</formula>
    </cfRule>
  </conditionalFormatting>
  <conditionalFormatting sqref="K2579:K2583">
    <cfRule type="cellIs" dxfId="257" priority="248" operator="equal">
      <formula>0</formula>
    </cfRule>
  </conditionalFormatting>
  <conditionalFormatting sqref="K2579:K2583">
    <cfRule type="expression" dxfId="256" priority="247">
      <formula>$J$19:$J$38&gt;0</formula>
    </cfRule>
  </conditionalFormatting>
  <conditionalFormatting sqref="K2586:K2590">
    <cfRule type="cellIs" dxfId="255" priority="246" operator="equal">
      <formula>0</formula>
    </cfRule>
  </conditionalFormatting>
  <conditionalFormatting sqref="K2586:K2590">
    <cfRule type="expression" dxfId="254" priority="245">
      <formula>$J$19:$J$38&gt;0</formula>
    </cfRule>
  </conditionalFormatting>
  <conditionalFormatting sqref="F2583">
    <cfRule type="cellIs" dxfId="253" priority="244" operator="equal">
      <formula>"-"</formula>
    </cfRule>
  </conditionalFormatting>
  <conditionalFormatting sqref="F2586:F2590">
    <cfRule type="cellIs" dxfId="252" priority="243" operator="equal">
      <formula>"-"</formula>
    </cfRule>
  </conditionalFormatting>
  <conditionalFormatting sqref="J2631">
    <cfRule type="cellIs" dxfId="251" priority="228" operator="equal">
      <formula>0</formula>
    </cfRule>
  </conditionalFormatting>
  <conditionalFormatting sqref="J2624 H2604:K2623 H2626:J2630 H2633:J2637">
    <cfRule type="cellIs" dxfId="250" priority="241" operator="equal">
      <formula>0</formula>
    </cfRule>
  </conditionalFormatting>
  <conditionalFormatting sqref="E2604:G2623">
    <cfRule type="cellIs" dxfId="249" priority="240" operator="equal">
      <formula>"-"</formula>
    </cfRule>
  </conditionalFormatting>
  <conditionalFormatting sqref="J2638">
    <cfRule type="cellIs" dxfId="248" priority="239" operator="equal">
      <formula>0</formula>
    </cfRule>
  </conditionalFormatting>
  <conditionalFormatting sqref="J2640:J2642">
    <cfRule type="cellIs" dxfId="247" priority="238" operator="equal">
      <formula>0</formula>
    </cfRule>
  </conditionalFormatting>
  <conditionalFormatting sqref="E2626:E2630 G2626:G2630">
    <cfRule type="cellIs" dxfId="246" priority="237" operator="equal">
      <formula>"-"</formula>
    </cfRule>
  </conditionalFormatting>
  <conditionalFormatting sqref="E2633:E2637 G2633:G2637">
    <cfRule type="cellIs" dxfId="245" priority="236" operator="equal">
      <formula>"-"</formula>
    </cfRule>
  </conditionalFormatting>
  <conditionalFormatting sqref="K2604:K2623">
    <cfRule type="expression" dxfId="244" priority="235">
      <formula>$J$19:$J$38&gt;0</formula>
    </cfRule>
  </conditionalFormatting>
  <conditionalFormatting sqref="K2626:K2630">
    <cfRule type="cellIs" dxfId="243" priority="234" operator="equal">
      <formula>0</formula>
    </cfRule>
  </conditionalFormatting>
  <conditionalFormatting sqref="K2626:K2630">
    <cfRule type="expression" dxfId="242" priority="233">
      <formula>$J$19:$J$38&gt;0</formula>
    </cfRule>
  </conditionalFormatting>
  <conditionalFormatting sqref="K2633:K2637">
    <cfRule type="cellIs" dxfId="241" priority="232" operator="equal">
      <formula>0</formula>
    </cfRule>
  </conditionalFormatting>
  <conditionalFormatting sqref="K2633:K2637">
    <cfRule type="expression" dxfId="240" priority="231">
      <formula>$J$19:$J$38&gt;0</formula>
    </cfRule>
  </conditionalFormatting>
  <conditionalFormatting sqref="F2630">
    <cfRule type="cellIs" dxfId="239" priority="230" operator="equal">
      <formula>"-"</formula>
    </cfRule>
  </conditionalFormatting>
  <conditionalFormatting sqref="F2633:F2637">
    <cfRule type="cellIs" dxfId="238" priority="229" operator="equal">
      <formula>"-"</formula>
    </cfRule>
  </conditionalFormatting>
  <conditionalFormatting sqref="J2678">
    <cfRule type="cellIs" dxfId="237" priority="214" operator="equal">
      <formula>0</formula>
    </cfRule>
  </conditionalFormatting>
  <conditionalFormatting sqref="J2671 H2651:K2670 H2673:J2677 H2680:J2684">
    <cfRule type="cellIs" dxfId="236" priority="227" operator="equal">
      <formula>0</formula>
    </cfRule>
  </conditionalFormatting>
  <conditionalFormatting sqref="E2651:G2670">
    <cfRule type="cellIs" dxfId="235" priority="226" operator="equal">
      <formula>"-"</formula>
    </cfRule>
  </conditionalFormatting>
  <conditionalFormatting sqref="J2685">
    <cfRule type="cellIs" dxfId="234" priority="225" operator="equal">
      <formula>0</formula>
    </cfRule>
  </conditionalFormatting>
  <conditionalFormatting sqref="J2687:J2689">
    <cfRule type="cellIs" dxfId="233" priority="224" operator="equal">
      <formula>0</formula>
    </cfRule>
  </conditionalFormatting>
  <conditionalFormatting sqref="E2673:E2677 G2673:G2677">
    <cfRule type="cellIs" dxfId="232" priority="223" operator="equal">
      <formula>"-"</formula>
    </cfRule>
  </conditionalFormatting>
  <conditionalFormatting sqref="E2680:E2684 G2680:G2684">
    <cfRule type="cellIs" dxfId="231" priority="222" operator="equal">
      <formula>"-"</formula>
    </cfRule>
  </conditionalFormatting>
  <conditionalFormatting sqref="K2651:K2670">
    <cfRule type="expression" dxfId="230" priority="221">
      <formula>$J$19:$J$38&gt;0</formula>
    </cfRule>
  </conditionalFormatting>
  <conditionalFormatting sqref="K2673:K2677">
    <cfRule type="cellIs" dxfId="229" priority="220" operator="equal">
      <formula>0</formula>
    </cfRule>
  </conditionalFormatting>
  <conditionalFormatting sqref="K2673:K2677">
    <cfRule type="expression" dxfId="228" priority="219">
      <formula>$J$19:$J$38&gt;0</formula>
    </cfRule>
  </conditionalFormatting>
  <conditionalFormatting sqref="K2680:K2684">
    <cfRule type="cellIs" dxfId="227" priority="218" operator="equal">
      <formula>0</formula>
    </cfRule>
  </conditionalFormatting>
  <conditionalFormatting sqref="K2680:K2684">
    <cfRule type="expression" dxfId="226" priority="217">
      <formula>$J$19:$J$38&gt;0</formula>
    </cfRule>
  </conditionalFormatting>
  <conditionalFormatting sqref="F2673:F2677">
    <cfRule type="cellIs" dxfId="225" priority="216" operator="equal">
      <formula>"-"</formula>
    </cfRule>
  </conditionalFormatting>
  <conditionalFormatting sqref="F2680:F2684">
    <cfRule type="cellIs" dxfId="224" priority="215" operator="equal">
      <formula>"-"</formula>
    </cfRule>
  </conditionalFormatting>
  <conditionalFormatting sqref="J2725">
    <cfRule type="cellIs" dxfId="223" priority="200" operator="equal">
      <formula>0</formula>
    </cfRule>
  </conditionalFormatting>
  <conditionalFormatting sqref="J2718 H2698:K2717 H2720:J2724 H2727:J2731">
    <cfRule type="cellIs" dxfId="222" priority="213" operator="equal">
      <formula>0</formula>
    </cfRule>
  </conditionalFormatting>
  <conditionalFormatting sqref="E2698:G2717">
    <cfRule type="cellIs" dxfId="221" priority="212" operator="equal">
      <formula>"-"</formula>
    </cfRule>
  </conditionalFormatting>
  <conditionalFormatting sqref="J2732">
    <cfRule type="cellIs" dxfId="220" priority="211" operator="equal">
      <formula>0</formula>
    </cfRule>
  </conditionalFormatting>
  <conditionalFormatting sqref="J2734:J2736">
    <cfRule type="cellIs" dxfId="219" priority="210" operator="equal">
      <formula>0</formula>
    </cfRule>
  </conditionalFormatting>
  <conditionalFormatting sqref="E2720:E2724 G2720:G2724">
    <cfRule type="cellIs" dxfId="218" priority="209" operator="equal">
      <formula>"-"</formula>
    </cfRule>
  </conditionalFormatting>
  <conditionalFormatting sqref="E2727:E2731 G2727:G2731">
    <cfRule type="cellIs" dxfId="217" priority="208" operator="equal">
      <formula>"-"</formula>
    </cfRule>
  </conditionalFormatting>
  <conditionalFormatting sqref="K2698:K2717">
    <cfRule type="expression" dxfId="216" priority="207">
      <formula>$J$19:$J$38&gt;0</formula>
    </cfRule>
  </conditionalFormatting>
  <conditionalFormatting sqref="K2720:K2724">
    <cfRule type="cellIs" dxfId="215" priority="206" operator="equal">
      <formula>0</formula>
    </cfRule>
  </conditionalFormatting>
  <conditionalFormatting sqref="K2720:K2724">
    <cfRule type="expression" dxfId="214" priority="205">
      <formula>$J$19:$J$38&gt;0</formula>
    </cfRule>
  </conditionalFormatting>
  <conditionalFormatting sqref="K2727:K2731">
    <cfRule type="cellIs" dxfId="213" priority="204" operator="equal">
      <formula>0</formula>
    </cfRule>
  </conditionalFormatting>
  <conditionalFormatting sqref="K2727:K2731">
    <cfRule type="expression" dxfId="212" priority="203">
      <formula>$J$19:$J$38&gt;0</formula>
    </cfRule>
  </conditionalFormatting>
  <conditionalFormatting sqref="F2720:F2724">
    <cfRule type="cellIs" dxfId="211" priority="202" operator="equal">
      <formula>"-"</formula>
    </cfRule>
  </conditionalFormatting>
  <conditionalFormatting sqref="F2727:F2731">
    <cfRule type="cellIs" dxfId="210" priority="201" operator="equal">
      <formula>"-"</formula>
    </cfRule>
  </conditionalFormatting>
  <conditionalFormatting sqref="J2772">
    <cfRule type="cellIs" dxfId="209" priority="186" operator="equal">
      <formula>0</formula>
    </cfRule>
  </conditionalFormatting>
  <conditionalFormatting sqref="J2765 H2745:K2764 H2767:J2771 H2774:J2778">
    <cfRule type="cellIs" dxfId="208" priority="199" operator="equal">
      <formula>0</formula>
    </cfRule>
  </conditionalFormatting>
  <conditionalFormatting sqref="E2745:G2764">
    <cfRule type="cellIs" dxfId="207" priority="198" operator="equal">
      <formula>"-"</formula>
    </cfRule>
  </conditionalFormatting>
  <conditionalFormatting sqref="J2779">
    <cfRule type="cellIs" dxfId="206" priority="197" operator="equal">
      <formula>0</formula>
    </cfRule>
  </conditionalFormatting>
  <conditionalFormatting sqref="J2781:J2783">
    <cfRule type="cellIs" dxfId="205" priority="196" operator="equal">
      <formula>0</formula>
    </cfRule>
  </conditionalFormatting>
  <conditionalFormatting sqref="E2767:E2771 G2767:G2771">
    <cfRule type="cellIs" dxfId="204" priority="195" operator="equal">
      <formula>"-"</formula>
    </cfRule>
  </conditionalFormatting>
  <conditionalFormatting sqref="E2774:E2778 G2774:G2778">
    <cfRule type="cellIs" dxfId="203" priority="194" operator="equal">
      <formula>"-"</formula>
    </cfRule>
  </conditionalFormatting>
  <conditionalFormatting sqref="K2745:K2764">
    <cfRule type="expression" dxfId="202" priority="193">
      <formula>$J$19:$J$38&gt;0</formula>
    </cfRule>
  </conditionalFormatting>
  <conditionalFormatting sqref="K2767:K2771">
    <cfRule type="cellIs" dxfId="201" priority="192" operator="equal">
      <formula>0</formula>
    </cfRule>
  </conditionalFormatting>
  <conditionalFormatting sqref="K2767:K2771">
    <cfRule type="expression" dxfId="200" priority="191">
      <formula>$J$19:$J$38&gt;0</formula>
    </cfRule>
  </conditionalFormatting>
  <conditionalFormatting sqref="K2774:K2778">
    <cfRule type="cellIs" dxfId="199" priority="190" operator="equal">
      <formula>0</formula>
    </cfRule>
  </conditionalFormatting>
  <conditionalFormatting sqref="K2774:K2778">
    <cfRule type="expression" dxfId="198" priority="189">
      <formula>$J$19:$J$38&gt;0</formula>
    </cfRule>
  </conditionalFormatting>
  <conditionalFormatting sqref="F2767:F2771">
    <cfRule type="cellIs" dxfId="197" priority="188" operator="equal">
      <formula>"-"</formula>
    </cfRule>
  </conditionalFormatting>
  <conditionalFormatting sqref="F2774:F2778">
    <cfRule type="cellIs" dxfId="196" priority="187" operator="equal">
      <formula>"-"</formula>
    </cfRule>
  </conditionalFormatting>
  <conditionalFormatting sqref="J2819">
    <cfRule type="cellIs" dxfId="195" priority="172" operator="equal">
      <formula>0</formula>
    </cfRule>
  </conditionalFormatting>
  <conditionalFormatting sqref="J2812 H2792:K2811 H2814:J2818 H2821:J2825">
    <cfRule type="cellIs" dxfId="194" priority="185" operator="equal">
      <formula>0</formula>
    </cfRule>
  </conditionalFormatting>
  <conditionalFormatting sqref="E2792:G2811">
    <cfRule type="cellIs" dxfId="193" priority="184" operator="equal">
      <formula>"-"</formula>
    </cfRule>
  </conditionalFormatting>
  <conditionalFormatting sqref="J2826">
    <cfRule type="cellIs" dxfId="192" priority="183" operator="equal">
      <formula>0</formula>
    </cfRule>
  </conditionalFormatting>
  <conditionalFormatting sqref="J2828:J2830">
    <cfRule type="cellIs" dxfId="191" priority="182" operator="equal">
      <formula>0</formula>
    </cfRule>
  </conditionalFormatting>
  <conditionalFormatting sqref="E2814:E2818 G2814:G2818">
    <cfRule type="cellIs" dxfId="190" priority="181" operator="equal">
      <formula>"-"</formula>
    </cfRule>
  </conditionalFormatting>
  <conditionalFormatting sqref="E2821:E2825 G2821:G2825">
    <cfRule type="cellIs" dxfId="189" priority="180" operator="equal">
      <formula>"-"</formula>
    </cfRule>
  </conditionalFormatting>
  <conditionalFormatting sqref="K2792:K2811">
    <cfRule type="expression" dxfId="188" priority="179">
      <formula>$J$19:$J$38&gt;0</formula>
    </cfRule>
  </conditionalFormatting>
  <conditionalFormatting sqref="K2814:K2818">
    <cfRule type="cellIs" dxfId="187" priority="178" operator="equal">
      <formula>0</formula>
    </cfRule>
  </conditionalFormatting>
  <conditionalFormatting sqref="K2814:K2818">
    <cfRule type="expression" dxfId="186" priority="177">
      <formula>$J$19:$J$38&gt;0</formula>
    </cfRule>
  </conditionalFormatting>
  <conditionalFormatting sqref="K2821:K2825">
    <cfRule type="cellIs" dxfId="185" priority="176" operator="equal">
      <formula>0</formula>
    </cfRule>
  </conditionalFormatting>
  <conditionalFormatting sqref="K2821:K2825">
    <cfRule type="expression" dxfId="184" priority="175">
      <formula>$J$19:$J$38&gt;0</formula>
    </cfRule>
  </conditionalFormatting>
  <conditionalFormatting sqref="F2814:F2818">
    <cfRule type="cellIs" dxfId="183" priority="174" operator="equal">
      <formula>"-"</formula>
    </cfRule>
  </conditionalFormatting>
  <conditionalFormatting sqref="F2821:F2825">
    <cfRule type="cellIs" dxfId="182" priority="173" operator="equal">
      <formula>"-"</formula>
    </cfRule>
  </conditionalFormatting>
  <conditionalFormatting sqref="J2866">
    <cfRule type="cellIs" dxfId="181" priority="158" operator="equal">
      <formula>0</formula>
    </cfRule>
  </conditionalFormatting>
  <conditionalFormatting sqref="J2859 H2839:K2858 H2861:J2865 H2868:J2872">
    <cfRule type="cellIs" dxfId="180" priority="171" operator="equal">
      <formula>0</formula>
    </cfRule>
  </conditionalFormatting>
  <conditionalFormatting sqref="E2839:G2858">
    <cfRule type="cellIs" dxfId="179" priority="170" operator="equal">
      <formula>"-"</formula>
    </cfRule>
  </conditionalFormatting>
  <conditionalFormatting sqref="J2873">
    <cfRule type="cellIs" dxfId="178" priority="169" operator="equal">
      <formula>0</formula>
    </cfRule>
  </conditionalFormatting>
  <conditionalFormatting sqref="J2875:J2877">
    <cfRule type="cellIs" dxfId="177" priority="168" operator="equal">
      <formula>0</formula>
    </cfRule>
  </conditionalFormatting>
  <conditionalFormatting sqref="E2861:E2865 G2861:G2865">
    <cfRule type="cellIs" dxfId="176" priority="167" operator="equal">
      <formula>"-"</formula>
    </cfRule>
  </conditionalFormatting>
  <conditionalFormatting sqref="E2868:E2872 G2868:G2872">
    <cfRule type="cellIs" dxfId="175" priority="166" operator="equal">
      <formula>"-"</formula>
    </cfRule>
  </conditionalFormatting>
  <conditionalFormatting sqref="K2839:K2858">
    <cfRule type="expression" dxfId="174" priority="165">
      <formula>$J$19:$J$38&gt;0</formula>
    </cfRule>
  </conditionalFormatting>
  <conditionalFormatting sqref="K2861:K2865">
    <cfRule type="cellIs" dxfId="173" priority="164" operator="equal">
      <formula>0</formula>
    </cfRule>
  </conditionalFormatting>
  <conditionalFormatting sqref="K2861:K2865">
    <cfRule type="expression" dxfId="172" priority="163">
      <formula>$J$19:$J$38&gt;0</formula>
    </cfRule>
  </conditionalFormatting>
  <conditionalFormatting sqref="K2868:K2872">
    <cfRule type="cellIs" dxfId="171" priority="162" operator="equal">
      <formula>0</formula>
    </cfRule>
  </conditionalFormatting>
  <conditionalFormatting sqref="K2868:K2872">
    <cfRule type="expression" dxfId="170" priority="161">
      <formula>$J$19:$J$38&gt;0</formula>
    </cfRule>
  </conditionalFormatting>
  <conditionalFormatting sqref="F2861:F2862 F2865">
    <cfRule type="cellIs" dxfId="169" priority="160" operator="equal">
      <formula>"-"</formula>
    </cfRule>
  </conditionalFormatting>
  <conditionalFormatting sqref="F2868:F2872">
    <cfRule type="cellIs" dxfId="168" priority="159" operator="equal">
      <formula>"-"</formula>
    </cfRule>
  </conditionalFormatting>
  <conditionalFormatting sqref="J2913">
    <cfRule type="cellIs" dxfId="167" priority="144" operator="equal">
      <formula>0</formula>
    </cfRule>
  </conditionalFormatting>
  <conditionalFormatting sqref="J2906 H2908:J2912 H2915:J2919 H2886:K2905">
    <cfRule type="cellIs" dxfId="166" priority="157" operator="equal">
      <formula>0</formula>
    </cfRule>
  </conditionalFormatting>
  <conditionalFormatting sqref="E2886:G2905">
    <cfRule type="cellIs" dxfId="165" priority="156" operator="equal">
      <formula>"-"</formula>
    </cfRule>
  </conditionalFormatting>
  <conditionalFormatting sqref="J2920">
    <cfRule type="cellIs" dxfId="164" priority="155" operator="equal">
      <formula>0</formula>
    </cfRule>
  </conditionalFormatting>
  <conditionalFormatting sqref="J2922:J2924">
    <cfRule type="cellIs" dxfId="163" priority="154" operator="equal">
      <formula>0</formula>
    </cfRule>
  </conditionalFormatting>
  <conditionalFormatting sqref="E2908:E2912 G2908:G2912">
    <cfRule type="cellIs" dxfId="162" priority="153" operator="equal">
      <formula>"-"</formula>
    </cfRule>
  </conditionalFormatting>
  <conditionalFormatting sqref="E2915:E2919 G2915:G2919">
    <cfRule type="cellIs" dxfId="161" priority="152" operator="equal">
      <formula>"-"</formula>
    </cfRule>
  </conditionalFormatting>
  <conditionalFormatting sqref="K2886:K2905">
    <cfRule type="expression" dxfId="160" priority="151">
      <formula>$J$19:$J$38&gt;0</formula>
    </cfRule>
  </conditionalFormatting>
  <conditionalFormatting sqref="K2908:K2912">
    <cfRule type="cellIs" dxfId="159" priority="150" operator="equal">
      <formula>0</formula>
    </cfRule>
  </conditionalFormatting>
  <conditionalFormatting sqref="K2908:K2912">
    <cfRule type="expression" dxfId="158" priority="149">
      <formula>$J$19:$J$38&gt;0</formula>
    </cfRule>
  </conditionalFormatting>
  <conditionalFormatting sqref="K2915:K2919">
    <cfRule type="cellIs" dxfId="157" priority="148" operator="equal">
      <formula>0</formula>
    </cfRule>
  </conditionalFormatting>
  <conditionalFormatting sqref="K2915:K2919">
    <cfRule type="expression" dxfId="156" priority="147">
      <formula>$J$19:$J$38&gt;0</formula>
    </cfRule>
  </conditionalFormatting>
  <conditionalFormatting sqref="F2912">
    <cfRule type="cellIs" dxfId="155" priority="146" operator="equal">
      <formula>"-"</formula>
    </cfRule>
  </conditionalFormatting>
  <conditionalFormatting sqref="F2915:F2919">
    <cfRule type="cellIs" dxfId="154" priority="145" operator="equal">
      <formula>"-"</formula>
    </cfRule>
  </conditionalFormatting>
  <conditionalFormatting sqref="J2960">
    <cfRule type="cellIs" dxfId="153" priority="130" operator="equal">
      <formula>0</formula>
    </cfRule>
  </conditionalFormatting>
  <conditionalFormatting sqref="J2953 H2933:K2952 H2955:J2959 H2962:J2966">
    <cfRule type="cellIs" dxfId="152" priority="143" operator="equal">
      <formula>0</formula>
    </cfRule>
  </conditionalFormatting>
  <conditionalFormatting sqref="E2939:G2952 E2933:E2938 G2933:G2938">
    <cfRule type="cellIs" dxfId="151" priority="142" operator="equal">
      <formula>"-"</formula>
    </cfRule>
  </conditionalFormatting>
  <conditionalFormatting sqref="J2967">
    <cfRule type="cellIs" dxfId="150" priority="141" operator="equal">
      <formula>0</formula>
    </cfRule>
  </conditionalFormatting>
  <conditionalFormatting sqref="J2969:J2971">
    <cfRule type="cellIs" dxfId="149" priority="140" operator="equal">
      <formula>0</formula>
    </cfRule>
  </conditionalFormatting>
  <conditionalFormatting sqref="E2955:E2959 G2955:G2959">
    <cfRule type="cellIs" dxfId="148" priority="139" operator="equal">
      <formula>"-"</formula>
    </cfRule>
  </conditionalFormatting>
  <conditionalFormatting sqref="E2962:E2966 G2962:G2966">
    <cfRule type="cellIs" dxfId="147" priority="138" operator="equal">
      <formula>"-"</formula>
    </cfRule>
  </conditionalFormatting>
  <conditionalFormatting sqref="K2933:K2952">
    <cfRule type="expression" dxfId="146" priority="137">
      <formula>$J$19:$J$38&gt;0</formula>
    </cfRule>
  </conditionalFormatting>
  <conditionalFormatting sqref="K2955:K2959">
    <cfRule type="cellIs" dxfId="145" priority="136" operator="equal">
      <formula>0</formula>
    </cfRule>
  </conditionalFormatting>
  <conditionalFormatting sqref="K2955:K2959">
    <cfRule type="expression" dxfId="144" priority="135">
      <formula>$J$19:$J$38&gt;0</formula>
    </cfRule>
  </conditionalFormatting>
  <conditionalFormatting sqref="K2962:K2966">
    <cfRule type="cellIs" dxfId="143" priority="134" operator="equal">
      <formula>0</formula>
    </cfRule>
  </conditionalFormatting>
  <conditionalFormatting sqref="K2962:K2966">
    <cfRule type="expression" dxfId="142" priority="133">
      <formula>$J$19:$J$38&gt;0</formula>
    </cfRule>
  </conditionalFormatting>
  <conditionalFormatting sqref="F2955:F2956 F2959">
    <cfRule type="cellIs" dxfId="141" priority="132" operator="equal">
      <formula>"-"</formula>
    </cfRule>
  </conditionalFormatting>
  <conditionalFormatting sqref="F2962:F2966">
    <cfRule type="cellIs" dxfId="140" priority="131" operator="equal">
      <formula>"-"</formula>
    </cfRule>
  </conditionalFormatting>
  <conditionalFormatting sqref="J3007">
    <cfRule type="cellIs" dxfId="139" priority="116" operator="equal">
      <formula>0</formula>
    </cfRule>
  </conditionalFormatting>
  <conditionalFormatting sqref="J3000 H2980:K2999 H3002:J3006 H3009:J3013">
    <cfRule type="cellIs" dxfId="138" priority="129" operator="equal">
      <formula>0</formula>
    </cfRule>
  </conditionalFormatting>
  <conditionalFormatting sqref="E2980:G2999">
    <cfRule type="cellIs" dxfId="137" priority="128" operator="equal">
      <formula>"-"</formula>
    </cfRule>
  </conditionalFormatting>
  <conditionalFormatting sqref="J3014">
    <cfRule type="cellIs" dxfId="136" priority="127" operator="equal">
      <formula>0</formula>
    </cfRule>
  </conditionalFormatting>
  <conditionalFormatting sqref="J3016:J3018">
    <cfRule type="cellIs" dxfId="135" priority="126" operator="equal">
      <formula>0</formula>
    </cfRule>
  </conditionalFormatting>
  <conditionalFormatting sqref="E3002:E3006 G3002:G3006">
    <cfRule type="cellIs" dxfId="134" priority="125" operator="equal">
      <formula>"-"</formula>
    </cfRule>
  </conditionalFormatting>
  <conditionalFormatting sqref="E3009:E3013 G3009:G3013">
    <cfRule type="cellIs" dxfId="133" priority="124" operator="equal">
      <formula>"-"</formula>
    </cfRule>
  </conditionalFormatting>
  <conditionalFormatting sqref="K2980:K2999">
    <cfRule type="expression" dxfId="132" priority="123">
      <formula>$J$19:$J$38&gt;0</formula>
    </cfRule>
  </conditionalFormatting>
  <conditionalFormatting sqref="K3002:K3006">
    <cfRule type="cellIs" dxfId="131" priority="122" operator="equal">
      <formula>0</formula>
    </cfRule>
  </conditionalFormatting>
  <conditionalFormatting sqref="K3002:K3006">
    <cfRule type="expression" dxfId="130" priority="121">
      <formula>$J$19:$J$38&gt;0</formula>
    </cfRule>
  </conditionalFormatting>
  <conditionalFormatting sqref="K3009:K3013">
    <cfRule type="cellIs" dxfId="129" priority="120" operator="equal">
      <formula>0</formula>
    </cfRule>
  </conditionalFormatting>
  <conditionalFormatting sqref="K3009:K3013">
    <cfRule type="expression" dxfId="128" priority="119">
      <formula>$J$19:$J$38&gt;0</formula>
    </cfRule>
  </conditionalFormatting>
  <conditionalFormatting sqref="F3002:F3003 F3006">
    <cfRule type="cellIs" dxfId="127" priority="118" operator="equal">
      <formula>"-"</formula>
    </cfRule>
  </conditionalFormatting>
  <conditionalFormatting sqref="F3009:F3013">
    <cfRule type="cellIs" dxfId="126" priority="117" operator="equal">
      <formula>"-"</formula>
    </cfRule>
  </conditionalFormatting>
  <conditionalFormatting sqref="J3054">
    <cfRule type="cellIs" dxfId="125" priority="102" operator="equal">
      <formula>0</formula>
    </cfRule>
  </conditionalFormatting>
  <conditionalFormatting sqref="J3047 H3027:K3046 H3049:J3053 H3056:J3060">
    <cfRule type="cellIs" dxfId="124" priority="115" operator="equal">
      <formula>0</formula>
    </cfRule>
  </conditionalFormatting>
  <conditionalFormatting sqref="E3027:G3046">
    <cfRule type="cellIs" dxfId="123" priority="114" operator="equal">
      <formula>"-"</formula>
    </cfRule>
  </conditionalFormatting>
  <conditionalFormatting sqref="J3061">
    <cfRule type="cellIs" dxfId="122" priority="113" operator="equal">
      <formula>0</formula>
    </cfRule>
  </conditionalFormatting>
  <conditionalFormatting sqref="J3063:J3065">
    <cfRule type="cellIs" dxfId="121" priority="112" operator="equal">
      <formula>0</formula>
    </cfRule>
  </conditionalFormatting>
  <conditionalFormatting sqref="E3049:E3053 G3049:G3053">
    <cfRule type="cellIs" dxfId="120" priority="111" operator="equal">
      <formula>"-"</formula>
    </cfRule>
  </conditionalFormatting>
  <conditionalFormatting sqref="E3056:E3060 G3056:G3060">
    <cfRule type="cellIs" dxfId="119" priority="110" operator="equal">
      <formula>"-"</formula>
    </cfRule>
  </conditionalFormatting>
  <conditionalFormatting sqref="K3027:K3046">
    <cfRule type="expression" dxfId="118" priority="109">
      <formula>$J$19:$J$38&gt;0</formula>
    </cfRule>
  </conditionalFormatting>
  <conditionalFormatting sqref="K3049:K3053">
    <cfRule type="cellIs" dxfId="117" priority="108" operator="equal">
      <formula>0</formula>
    </cfRule>
  </conditionalFormatting>
  <conditionalFormatting sqref="K3049:K3053">
    <cfRule type="expression" dxfId="116" priority="107">
      <formula>$J$19:$J$38&gt;0</formula>
    </cfRule>
  </conditionalFormatting>
  <conditionalFormatting sqref="K3056:K3060">
    <cfRule type="cellIs" dxfId="115" priority="106" operator="equal">
      <formula>0</formula>
    </cfRule>
  </conditionalFormatting>
  <conditionalFormatting sqref="K3056:K3060">
    <cfRule type="expression" dxfId="114" priority="105">
      <formula>$J$19:$J$38&gt;0</formula>
    </cfRule>
  </conditionalFormatting>
  <conditionalFormatting sqref="F3049:F3053">
    <cfRule type="cellIs" dxfId="113" priority="104" operator="equal">
      <formula>"-"</formula>
    </cfRule>
  </conditionalFormatting>
  <conditionalFormatting sqref="F3056:F3060">
    <cfRule type="cellIs" dxfId="112" priority="103" operator="equal">
      <formula>"-"</formula>
    </cfRule>
  </conditionalFormatting>
  <conditionalFormatting sqref="J3101">
    <cfRule type="cellIs" dxfId="111" priority="88" operator="equal">
      <formula>0</formula>
    </cfRule>
  </conditionalFormatting>
  <conditionalFormatting sqref="J3094 H3074:K3093 H3096:J3100 H3103:J3107">
    <cfRule type="cellIs" dxfId="110" priority="101" operator="equal">
      <formula>0</formula>
    </cfRule>
  </conditionalFormatting>
  <conditionalFormatting sqref="E3074:G3093">
    <cfRule type="cellIs" dxfId="109" priority="100" operator="equal">
      <formula>"-"</formula>
    </cfRule>
  </conditionalFormatting>
  <conditionalFormatting sqref="J3108">
    <cfRule type="cellIs" dxfId="108" priority="99" operator="equal">
      <formula>0</formula>
    </cfRule>
  </conditionalFormatting>
  <conditionalFormatting sqref="J3110:J3112">
    <cfRule type="cellIs" dxfId="107" priority="98" operator="equal">
      <formula>0</formula>
    </cfRule>
  </conditionalFormatting>
  <conditionalFormatting sqref="E3096:E3100 G3096:G3100">
    <cfRule type="cellIs" dxfId="106" priority="97" operator="equal">
      <formula>"-"</formula>
    </cfRule>
  </conditionalFormatting>
  <conditionalFormatting sqref="E3103:E3107 G3103:G3107">
    <cfRule type="cellIs" dxfId="105" priority="96" operator="equal">
      <formula>"-"</formula>
    </cfRule>
  </conditionalFormatting>
  <conditionalFormatting sqref="K3074:K3093">
    <cfRule type="expression" dxfId="104" priority="95">
      <formula>$J$19:$J$38&gt;0</formula>
    </cfRule>
  </conditionalFormatting>
  <conditionalFormatting sqref="K3096:K3100">
    <cfRule type="cellIs" dxfId="103" priority="94" operator="equal">
      <formula>0</formula>
    </cfRule>
  </conditionalFormatting>
  <conditionalFormatting sqref="K3096:K3100">
    <cfRule type="expression" dxfId="102" priority="93">
      <formula>$J$19:$J$38&gt;0</formula>
    </cfRule>
  </conditionalFormatting>
  <conditionalFormatting sqref="K3103:K3107">
    <cfRule type="cellIs" dxfId="101" priority="92" operator="equal">
      <formula>0</formula>
    </cfRule>
  </conditionalFormatting>
  <conditionalFormatting sqref="K3103:K3107">
    <cfRule type="expression" dxfId="100" priority="91">
      <formula>$J$19:$J$38&gt;0</formula>
    </cfRule>
  </conditionalFormatting>
  <conditionalFormatting sqref="F3096:F3100">
    <cfRule type="cellIs" dxfId="99" priority="90" operator="equal">
      <formula>"-"</formula>
    </cfRule>
  </conditionalFormatting>
  <conditionalFormatting sqref="F3103:F3107">
    <cfRule type="cellIs" dxfId="98" priority="89" operator="equal">
      <formula>"-"</formula>
    </cfRule>
  </conditionalFormatting>
  <conditionalFormatting sqref="F370:F373">
    <cfRule type="cellIs" dxfId="97" priority="87" operator="equal">
      <formula>"-"</formula>
    </cfRule>
  </conditionalFormatting>
  <conditionalFormatting sqref="F417:F420">
    <cfRule type="cellIs" dxfId="96" priority="86" operator="equal">
      <formula>"-"</formula>
    </cfRule>
  </conditionalFormatting>
  <conditionalFormatting sqref="F464:F467">
    <cfRule type="cellIs" dxfId="95" priority="85" operator="equal">
      <formula>"-"</formula>
    </cfRule>
  </conditionalFormatting>
  <conditionalFormatting sqref="F511:F514">
    <cfRule type="cellIs" dxfId="94" priority="84" operator="equal">
      <formula>"-"</formula>
    </cfRule>
  </conditionalFormatting>
  <conditionalFormatting sqref="F558:F561">
    <cfRule type="cellIs" dxfId="93" priority="83" operator="equal">
      <formula>"-"</formula>
    </cfRule>
  </conditionalFormatting>
  <conditionalFormatting sqref="F607:F608">
    <cfRule type="cellIs" dxfId="92" priority="82" operator="equal">
      <formula>"-"</formula>
    </cfRule>
  </conditionalFormatting>
  <conditionalFormatting sqref="F654:F655">
    <cfRule type="cellIs" dxfId="91" priority="81" operator="equal">
      <formula>"-"</formula>
    </cfRule>
  </conditionalFormatting>
  <conditionalFormatting sqref="F699:F702">
    <cfRule type="cellIs" dxfId="90" priority="80" operator="equal">
      <formula>"-"</formula>
    </cfRule>
  </conditionalFormatting>
  <conditionalFormatting sqref="F746:F749">
    <cfRule type="cellIs" dxfId="89" priority="79" operator="equal">
      <formula>"-"</formula>
    </cfRule>
  </conditionalFormatting>
  <conditionalFormatting sqref="F793:F796">
    <cfRule type="cellIs" dxfId="88" priority="78" operator="equal">
      <formula>"-"</formula>
    </cfRule>
  </conditionalFormatting>
  <conditionalFormatting sqref="F840:F843">
    <cfRule type="cellIs" dxfId="87" priority="77" operator="equal">
      <formula>"-"</formula>
    </cfRule>
  </conditionalFormatting>
  <conditionalFormatting sqref="F889:F890">
    <cfRule type="cellIs" dxfId="86" priority="76" operator="equal">
      <formula>"-"</formula>
    </cfRule>
  </conditionalFormatting>
  <conditionalFormatting sqref="F934:F937">
    <cfRule type="cellIs" dxfId="85" priority="75" operator="equal">
      <formula>"-"</formula>
    </cfRule>
  </conditionalFormatting>
  <conditionalFormatting sqref="F983:F984">
    <cfRule type="cellIs" dxfId="84" priority="74" operator="equal">
      <formula>"-"</formula>
    </cfRule>
  </conditionalFormatting>
  <conditionalFormatting sqref="F1028:F1031">
    <cfRule type="cellIs" dxfId="83" priority="73" operator="equal">
      <formula>"-"</formula>
    </cfRule>
  </conditionalFormatting>
  <conditionalFormatting sqref="F1075:F1078">
    <cfRule type="cellIs" dxfId="82" priority="72" operator="equal">
      <formula>"-"</formula>
    </cfRule>
  </conditionalFormatting>
  <conditionalFormatting sqref="F1122:F1125">
    <cfRule type="cellIs" dxfId="81" priority="71" operator="equal">
      <formula>"-"</formula>
    </cfRule>
  </conditionalFormatting>
  <conditionalFormatting sqref="F1171:F1172">
    <cfRule type="cellIs" dxfId="80" priority="70" operator="equal">
      <formula>"-"</formula>
    </cfRule>
  </conditionalFormatting>
  <conditionalFormatting sqref="F1216:F1219">
    <cfRule type="cellIs" dxfId="79" priority="69" operator="equal">
      <formula>"-"</formula>
    </cfRule>
  </conditionalFormatting>
  <conditionalFormatting sqref="F1263:F1266">
    <cfRule type="cellIs" dxfId="78" priority="68" operator="equal">
      <formula>"-"</formula>
    </cfRule>
  </conditionalFormatting>
  <conditionalFormatting sqref="F1310:F1313">
    <cfRule type="cellIs" dxfId="77" priority="67" operator="equal">
      <formula>"-"</formula>
    </cfRule>
  </conditionalFormatting>
  <conditionalFormatting sqref="F1357:F1360">
    <cfRule type="cellIs" dxfId="76" priority="66" operator="equal">
      <formula>"-"</formula>
    </cfRule>
  </conditionalFormatting>
  <conditionalFormatting sqref="F1404:F1407">
    <cfRule type="cellIs" dxfId="75" priority="65" operator="equal">
      <formula>"-"</formula>
    </cfRule>
  </conditionalFormatting>
  <conditionalFormatting sqref="F1451:F1454">
    <cfRule type="cellIs" dxfId="74" priority="64" operator="equal">
      <formula>"-"</formula>
    </cfRule>
  </conditionalFormatting>
  <conditionalFormatting sqref="F1498:F1501">
    <cfRule type="cellIs" dxfId="73" priority="63" operator="equal">
      <formula>"-"</formula>
    </cfRule>
  </conditionalFormatting>
  <conditionalFormatting sqref="F1545:F1548">
    <cfRule type="cellIs" dxfId="72" priority="62" operator="equal">
      <formula>"-"</formula>
    </cfRule>
  </conditionalFormatting>
  <conditionalFormatting sqref="F1592:F1595">
    <cfRule type="cellIs" dxfId="71" priority="61" operator="equal">
      <formula>"-"</formula>
    </cfRule>
  </conditionalFormatting>
  <conditionalFormatting sqref="F1639:F1642">
    <cfRule type="cellIs" dxfId="70" priority="60" operator="equal">
      <formula>"-"</formula>
    </cfRule>
  </conditionalFormatting>
  <conditionalFormatting sqref="F1688:F1689">
    <cfRule type="cellIs" dxfId="69" priority="59" operator="equal">
      <formula>"-"</formula>
    </cfRule>
  </conditionalFormatting>
  <conditionalFormatting sqref="F1735:F1736">
    <cfRule type="cellIs" dxfId="68" priority="58" operator="equal">
      <formula>"-"</formula>
    </cfRule>
  </conditionalFormatting>
  <conditionalFormatting sqref="F1780:F1783">
    <cfRule type="cellIs" dxfId="67" priority="57" operator="equal">
      <formula>"-"</formula>
    </cfRule>
  </conditionalFormatting>
  <conditionalFormatting sqref="F1827:F1830">
    <cfRule type="cellIs" dxfId="66" priority="56" operator="equal">
      <formula>"-"</formula>
    </cfRule>
  </conditionalFormatting>
  <conditionalFormatting sqref="F1874:F1877">
    <cfRule type="cellIs" dxfId="65" priority="55" operator="equal">
      <formula>"-"</formula>
    </cfRule>
  </conditionalFormatting>
  <conditionalFormatting sqref="F1923:F1924">
    <cfRule type="cellIs" dxfId="64" priority="54" operator="equal">
      <formula>"-"</formula>
    </cfRule>
  </conditionalFormatting>
  <conditionalFormatting sqref="F1970:F1971">
    <cfRule type="cellIs" dxfId="63" priority="53" operator="equal">
      <formula>"-"</formula>
    </cfRule>
  </conditionalFormatting>
  <conditionalFormatting sqref="F2017:F2018">
    <cfRule type="cellIs" dxfId="62" priority="52" operator="equal">
      <formula>"-"</formula>
    </cfRule>
  </conditionalFormatting>
  <conditionalFormatting sqref="F2064:F2065">
    <cfRule type="cellIs" dxfId="61" priority="51" operator="equal">
      <formula>"-"</formula>
    </cfRule>
  </conditionalFormatting>
  <conditionalFormatting sqref="F2111:F2112">
    <cfRule type="cellIs" dxfId="60" priority="50" operator="equal">
      <formula>"-"</formula>
    </cfRule>
  </conditionalFormatting>
  <conditionalFormatting sqref="F2156:F2159">
    <cfRule type="cellIs" dxfId="59" priority="49" operator="equal">
      <formula>"-"</formula>
    </cfRule>
  </conditionalFormatting>
  <conditionalFormatting sqref="F2203:F2206">
    <cfRule type="cellIs" dxfId="58" priority="48" operator="equal">
      <formula>"-"</formula>
    </cfRule>
  </conditionalFormatting>
  <conditionalFormatting sqref="F2250:F2253">
    <cfRule type="cellIs" dxfId="57" priority="47" operator="equal">
      <formula>"-"</formula>
    </cfRule>
  </conditionalFormatting>
  <conditionalFormatting sqref="F2297:F2300">
    <cfRule type="cellIs" dxfId="56" priority="46" operator="equal">
      <formula>"-"</formula>
    </cfRule>
  </conditionalFormatting>
  <conditionalFormatting sqref="F2344:F2347">
    <cfRule type="cellIs" dxfId="55" priority="45" operator="equal">
      <formula>"-"</formula>
    </cfRule>
  </conditionalFormatting>
  <conditionalFormatting sqref="F2391:F2394">
    <cfRule type="cellIs" dxfId="54" priority="44" operator="equal">
      <formula>"-"</formula>
    </cfRule>
  </conditionalFormatting>
  <conditionalFormatting sqref="F2440:F2441">
    <cfRule type="cellIs" dxfId="53" priority="43" operator="equal">
      <formula>"-"</formula>
    </cfRule>
  </conditionalFormatting>
  <conditionalFormatting sqref="F2485:F2488">
    <cfRule type="cellIs" dxfId="52" priority="42" operator="equal">
      <formula>"-"</formula>
    </cfRule>
  </conditionalFormatting>
  <conditionalFormatting sqref="F2532:F2535">
    <cfRule type="cellIs" dxfId="51" priority="41" operator="equal">
      <formula>"-"</formula>
    </cfRule>
  </conditionalFormatting>
  <conditionalFormatting sqref="F2581:F2582">
    <cfRule type="cellIs" dxfId="50" priority="40" operator="equal">
      <formula>"-"</formula>
    </cfRule>
  </conditionalFormatting>
  <conditionalFormatting sqref="F2626:F2629">
    <cfRule type="cellIs" dxfId="49" priority="39" operator="equal">
      <formula>"-"</formula>
    </cfRule>
  </conditionalFormatting>
  <conditionalFormatting sqref="F536:F543">
    <cfRule type="cellIs" dxfId="48" priority="38" operator="equal">
      <formula>0</formula>
    </cfRule>
  </conditionalFormatting>
  <conditionalFormatting sqref="F583:F590">
    <cfRule type="cellIs" dxfId="47" priority="37" operator="equal">
      <formula>0</formula>
    </cfRule>
  </conditionalFormatting>
  <conditionalFormatting sqref="F605:F606">
    <cfRule type="cellIs" dxfId="46" priority="36" operator="equal">
      <formula>"-"</formula>
    </cfRule>
  </conditionalFormatting>
  <conditionalFormatting sqref="F630:F636">
    <cfRule type="cellIs" dxfId="45" priority="35" operator="equal">
      <formula>0</formula>
    </cfRule>
  </conditionalFormatting>
  <conditionalFormatting sqref="F652:F653">
    <cfRule type="cellIs" dxfId="44" priority="34" operator="equal">
      <formula>"-"</formula>
    </cfRule>
  </conditionalFormatting>
  <conditionalFormatting sqref="F678:F681">
    <cfRule type="cellIs" dxfId="43" priority="33" operator="equal">
      <formula>0</formula>
    </cfRule>
  </conditionalFormatting>
  <conditionalFormatting sqref="F724:F730">
    <cfRule type="cellIs" dxfId="42" priority="32" operator="equal">
      <formula>0</formula>
    </cfRule>
  </conditionalFormatting>
  <conditionalFormatting sqref="F771:F775">
    <cfRule type="cellIs" dxfId="41" priority="31" operator="equal">
      <formula>0</formula>
    </cfRule>
  </conditionalFormatting>
  <conditionalFormatting sqref="F818:F822">
    <cfRule type="cellIs" dxfId="40" priority="30" operator="equal">
      <formula>0</formula>
    </cfRule>
  </conditionalFormatting>
  <conditionalFormatting sqref="F865:F869">
    <cfRule type="cellIs" dxfId="39" priority="29" operator="equal">
      <formula>0</formula>
    </cfRule>
  </conditionalFormatting>
  <conditionalFormatting sqref="F887:F888">
    <cfRule type="cellIs" dxfId="38" priority="28" operator="equal">
      <formula>"-"</formula>
    </cfRule>
  </conditionalFormatting>
  <conditionalFormatting sqref="F912:F915">
    <cfRule type="cellIs" dxfId="37" priority="27" operator="equal">
      <formula>0</formula>
    </cfRule>
  </conditionalFormatting>
  <conditionalFormatting sqref="F1053:F1055">
    <cfRule type="cellIs" dxfId="36" priority="26" operator="equal">
      <formula>0</formula>
    </cfRule>
  </conditionalFormatting>
  <conditionalFormatting sqref="F1100:F1102">
    <cfRule type="cellIs" dxfId="35" priority="25" operator="equal">
      <formula>0</formula>
    </cfRule>
  </conditionalFormatting>
  <conditionalFormatting sqref="F1147:F1150">
    <cfRule type="cellIs" dxfId="34" priority="24" operator="equal">
      <formula>0</formula>
    </cfRule>
  </conditionalFormatting>
  <conditionalFormatting sqref="F1169:F1170">
    <cfRule type="cellIs" dxfId="33" priority="23" operator="equal">
      <formula>"-"</formula>
    </cfRule>
  </conditionalFormatting>
  <conditionalFormatting sqref="F1241:F1247">
    <cfRule type="cellIs" dxfId="32" priority="22" operator="equal">
      <formula>0</formula>
    </cfRule>
  </conditionalFormatting>
  <conditionalFormatting sqref="F1335:F1337">
    <cfRule type="cellIs" dxfId="31" priority="21" operator="equal">
      <formula>0</formula>
    </cfRule>
  </conditionalFormatting>
  <conditionalFormatting sqref="F2015:F2016">
    <cfRule type="cellIs" dxfId="30" priority="20" operator="equal">
      <formula>"-"</formula>
    </cfRule>
  </conditionalFormatting>
  <conditionalFormatting sqref="F2062:F2063">
    <cfRule type="cellIs" dxfId="29" priority="19" operator="equal">
      <formula>"-"</formula>
    </cfRule>
  </conditionalFormatting>
  <conditionalFormatting sqref="F2109:F2110">
    <cfRule type="cellIs" dxfId="28" priority="18" operator="equal">
      <formula>"-"</formula>
    </cfRule>
  </conditionalFormatting>
  <conditionalFormatting sqref="F2438:F2439">
    <cfRule type="cellIs" dxfId="27" priority="17" operator="equal">
      <formula>"-"</formula>
    </cfRule>
  </conditionalFormatting>
  <conditionalFormatting sqref="F2933:F2938">
    <cfRule type="cellIs" dxfId="26" priority="5" operator="equal">
      <formula>"-"</formula>
    </cfRule>
  </conditionalFormatting>
  <conditionalFormatting sqref="F1733:F1734">
    <cfRule type="cellIs" dxfId="25" priority="15" operator="equal">
      <formula>"-"</formula>
    </cfRule>
  </conditionalFormatting>
  <conditionalFormatting sqref="F1686:F1687">
    <cfRule type="cellIs" dxfId="24" priority="14" operator="equal">
      <formula>"-"</formula>
    </cfRule>
  </conditionalFormatting>
  <conditionalFormatting sqref="F1921:F1922">
    <cfRule type="cellIs" dxfId="23" priority="13" operator="equal">
      <formula>"-"</formula>
    </cfRule>
  </conditionalFormatting>
  <conditionalFormatting sqref="F1968:F1969">
    <cfRule type="cellIs" dxfId="22" priority="12" operator="equal">
      <formula>"-"</formula>
    </cfRule>
  </conditionalFormatting>
  <conditionalFormatting sqref="F229:F230">
    <cfRule type="cellIs" dxfId="21" priority="11" operator="equal">
      <formula>"-"</formula>
    </cfRule>
  </conditionalFormatting>
  <conditionalFormatting sqref="F2579:F2580">
    <cfRule type="cellIs" dxfId="20" priority="10" operator="equal">
      <formula>"-"</formula>
    </cfRule>
  </conditionalFormatting>
  <conditionalFormatting sqref="F2863:F2864">
    <cfRule type="cellIs" dxfId="19" priority="9" operator="equal">
      <formula>"-"</formula>
    </cfRule>
  </conditionalFormatting>
  <conditionalFormatting sqref="F2910:F2911">
    <cfRule type="cellIs" dxfId="18" priority="8" operator="equal">
      <formula>"-"</formula>
    </cfRule>
  </conditionalFormatting>
  <conditionalFormatting sqref="F2957:F2958">
    <cfRule type="cellIs" dxfId="17" priority="7" operator="equal">
      <formula>"-"</formula>
    </cfRule>
  </conditionalFormatting>
  <conditionalFormatting sqref="F3004:F3005">
    <cfRule type="cellIs" dxfId="16" priority="6" operator="equal">
      <formula>"-"</formula>
    </cfRule>
  </conditionalFormatting>
  <conditionalFormatting sqref="F2908:F2909">
    <cfRule type="cellIs" dxfId="15" priority="4" operator="equal">
      <formula>"-"</formula>
    </cfRule>
  </conditionalFormatting>
  <conditionalFormatting sqref="F1006:F1016">
    <cfRule type="cellIs" dxfId="14" priority="3" operator="equal">
      <formula>0</formula>
    </cfRule>
  </conditionalFormatting>
  <conditionalFormatting sqref="F959:F968">
    <cfRule type="cellIs" dxfId="13" priority="2" operator="equal">
      <formula>0</formula>
    </cfRule>
  </conditionalFormatting>
  <conditionalFormatting sqref="F981:F982">
    <cfRule type="cellIs" dxfId="12" priority="1" operator="equal">
      <formula>"-"</formula>
    </cfRule>
  </conditionalFormatting>
  <pageMargins left="0.78740157480314965" right="0.19685039370078741" top="0.39370078740157483" bottom="2.7165354330708662" header="0" footer="0.39370078740157483"/>
  <pageSetup paperSize="9" scale="63" fitToHeight="66" orientation="portrait" verticalDpi="1200" r:id="rId1"/>
  <headerFooter alignWithMargins="0">
    <oddFooter>&amp;L                                     &amp;G&amp;R&amp;G</oddFooter>
  </headerFooter>
  <rowBreaks count="2" manualBreakCount="2">
    <brk id="58" min="3" max="11" man="1"/>
    <brk id="105" min="3" max="11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B4:V109"/>
  <sheetViews>
    <sheetView view="pageBreakPreview" topLeftCell="C16" zoomScaleNormal="100" zoomScaleSheetLayoutView="100" workbookViewId="0">
      <selection activeCell="I32" sqref="I32"/>
    </sheetView>
  </sheetViews>
  <sheetFormatPr baseColWidth="10" defaultRowHeight="15"/>
  <cols>
    <col min="1" max="3" width="11.42578125" style="65"/>
    <col min="4" max="4" width="10.28515625" style="112" customWidth="1"/>
    <col min="5" max="5" width="56.28515625" style="65" bestFit="1" customWidth="1"/>
    <col min="6" max="6" width="4.28515625" style="5" bestFit="1" customWidth="1"/>
    <col min="7" max="7" width="8.85546875" style="113" bestFit="1" customWidth="1"/>
    <col min="8" max="8" width="12.140625" style="67" bestFit="1" customWidth="1"/>
    <col min="9" max="10" width="14.5703125" style="67" bestFit="1" customWidth="1"/>
    <col min="11" max="11" width="10" style="67" bestFit="1" customWidth="1"/>
    <col min="12" max="12" width="10" style="66" bestFit="1" customWidth="1"/>
    <col min="13" max="13" width="19.5703125" bestFit="1" customWidth="1"/>
    <col min="14" max="14" width="16.5703125" style="65" customWidth="1"/>
    <col min="15" max="15" width="12.140625" style="65" bestFit="1" customWidth="1"/>
    <col min="16" max="16" width="11.42578125" style="69"/>
    <col min="17" max="20" width="11.42578125" style="65"/>
    <col min="21" max="21" width="11.42578125" style="69"/>
    <col min="22" max="16384" width="11.42578125" style="65"/>
  </cols>
  <sheetData>
    <row r="4" spans="2:22">
      <c r="B4" s="65" t="s">
        <v>106</v>
      </c>
      <c r="D4" s="124"/>
      <c r="E4" s="607"/>
      <c r="F4" s="607"/>
      <c r="G4" s="607"/>
      <c r="H4" s="607"/>
      <c r="I4" s="607"/>
      <c r="J4" s="607"/>
      <c r="K4" s="607"/>
    </row>
    <row r="5" spans="2:22" ht="30.75" customHeight="1">
      <c r="B5" s="65" t="s">
        <v>1248</v>
      </c>
      <c r="D5" s="120"/>
      <c r="E5" s="615" t="str">
        <f>VLOOKUP($B5,DATRUB,4,FALSE)</f>
        <v>MINISTERIO DEL INTERIOR, OBRAS PÚBLICAS Y VIVIENDA PROGRAMA NACIONAL DE INFRAESTRUCTURA UNIVERSITARIA</v>
      </c>
      <c r="F5" s="615"/>
      <c r="G5" s="615"/>
      <c r="H5" s="615"/>
      <c r="I5" s="615"/>
      <c r="J5" s="615"/>
      <c r="K5" s="615"/>
    </row>
    <row r="6" spans="2:22">
      <c r="B6" s="65" t="s">
        <v>1249</v>
      </c>
      <c r="D6" s="120"/>
      <c r="E6" s="614" t="str">
        <f>VLOOKUP($B6,DATRUB,4,FALSE)</f>
        <v>COMITENTE: UNIVERSIDAD NACIONAL DE SAN JUAN</v>
      </c>
      <c r="F6" s="614"/>
      <c r="G6" s="614"/>
      <c r="H6" s="614"/>
      <c r="I6" s="614"/>
      <c r="J6" s="614"/>
      <c r="K6" s="614"/>
    </row>
    <row r="7" spans="2:22">
      <c r="B7" s="65" t="s">
        <v>1247</v>
      </c>
      <c r="D7" s="120"/>
      <c r="E7" s="614" t="str">
        <f>VLOOKUP($B7,DATRUB,4,FALSE)</f>
        <v>LICITACIÓN PÚBLICA NACIONAL N° CU-011/16</v>
      </c>
      <c r="F7" s="614"/>
      <c r="G7" s="614"/>
      <c r="H7" s="614"/>
      <c r="I7" s="614"/>
      <c r="J7" s="614"/>
      <c r="K7" s="614"/>
    </row>
    <row r="8" spans="2:22" s="66" customFormat="1" ht="30.75" customHeight="1">
      <c r="B8" s="65" t="s">
        <v>1885</v>
      </c>
      <c r="C8" s="65"/>
      <c r="D8" s="120"/>
      <c r="E8" s="611" t="str">
        <f>VLOOKUP($B8,DATRUB,4,FALSE)</f>
        <v>OBRA: EDIFICIO SEDE JÁCHAL - CONSTRUCCIÓN DE AULAS</v>
      </c>
      <c r="F8" s="612"/>
      <c r="G8" s="612"/>
      <c r="H8" s="612"/>
      <c r="I8" s="612"/>
      <c r="J8" s="612"/>
      <c r="K8" s="613"/>
      <c r="M8"/>
      <c r="N8" s="65"/>
      <c r="O8" s="65"/>
      <c r="P8" s="69"/>
      <c r="Q8" s="65"/>
      <c r="R8" s="65"/>
      <c r="S8" s="65"/>
      <c r="T8" s="65"/>
      <c r="U8" s="69"/>
      <c r="V8" s="65"/>
    </row>
    <row r="9" spans="2:22" s="66" customFormat="1" ht="6" customHeight="1">
      <c r="B9" s="65"/>
      <c r="C9" s="65"/>
      <c r="D9" s="120"/>
      <c r="E9" s="279"/>
      <c r="F9" s="279"/>
      <c r="G9" s="279"/>
      <c r="H9" s="279"/>
      <c r="I9" s="329"/>
      <c r="J9" s="329"/>
      <c r="K9" s="329"/>
      <c r="M9"/>
      <c r="N9" s="65"/>
      <c r="O9" s="65"/>
      <c r="P9" s="69"/>
      <c r="Q9" s="65"/>
      <c r="R9" s="65"/>
      <c r="S9" s="65"/>
      <c r="T9" s="65"/>
      <c r="U9" s="69"/>
      <c r="V9" s="65"/>
    </row>
    <row r="10" spans="2:22" s="66" customFormat="1">
      <c r="B10" s="65" t="s">
        <v>1981</v>
      </c>
      <c r="C10" s="65"/>
      <c r="D10" s="120"/>
      <c r="E10" s="608" t="str">
        <f>VLOOKUP($B10,DATRUB,4,FALSE)</f>
        <v>CÓMPUTO Y PRESUPUESTO</v>
      </c>
      <c r="F10" s="609"/>
      <c r="G10" s="609"/>
      <c r="H10" s="609"/>
      <c r="I10" s="609"/>
      <c r="J10" s="609"/>
      <c r="K10" s="610"/>
      <c r="M10"/>
      <c r="N10" s="65"/>
      <c r="O10" s="65"/>
      <c r="P10" s="69"/>
      <c r="Q10" s="65"/>
      <c r="R10" s="65"/>
      <c r="S10" s="65"/>
      <c r="T10" s="65"/>
      <c r="U10" s="69"/>
      <c r="V10" s="65"/>
    </row>
    <row r="11" spans="2:22" s="66" customFormat="1" ht="3.75" customHeight="1">
      <c r="B11" s="65" t="s">
        <v>1251</v>
      </c>
      <c r="C11" s="65"/>
      <c r="D11" s="121"/>
      <c r="E11" s="132"/>
      <c r="F11" s="128"/>
      <c r="G11" s="129"/>
      <c r="H11" s="130"/>
      <c r="I11" s="130"/>
      <c r="J11" s="130"/>
      <c r="K11" s="130"/>
      <c r="M11"/>
      <c r="N11" s="65"/>
      <c r="O11" s="65"/>
      <c r="P11" s="69"/>
      <c r="Q11" s="65"/>
      <c r="R11" s="65"/>
      <c r="S11" s="65"/>
      <c r="T11" s="65"/>
      <c r="U11" s="69"/>
      <c r="V11" s="65"/>
    </row>
    <row r="12" spans="2:22" ht="5.25" customHeight="1"/>
    <row r="13" spans="2:22" s="66" customFormat="1" ht="38.25">
      <c r="B13" s="65"/>
      <c r="C13" s="65"/>
      <c r="D13" s="384" t="s">
        <v>1991</v>
      </c>
      <c r="E13" s="384" t="s">
        <v>1990</v>
      </c>
      <c r="F13" s="385" t="s">
        <v>1254</v>
      </c>
      <c r="G13" s="386" t="s">
        <v>1250</v>
      </c>
      <c r="H13" s="387" t="s">
        <v>2050</v>
      </c>
      <c r="I13" s="387" t="s">
        <v>2337</v>
      </c>
      <c r="J13" s="387" t="s">
        <v>2340</v>
      </c>
      <c r="K13" s="387" t="s">
        <v>2338</v>
      </c>
      <c r="L13" s="387" t="s">
        <v>2339</v>
      </c>
      <c r="M13"/>
      <c r="N13" s="65"/>
      <c r="O13" s="65"/>
      <c r="P13" s="69"/>
      <c r="Q13" s="65"/>
      <c r="R13" s="65"/>
      <c r="S13" s="65"/>
      <c r="T13" s="65"/>
      <c r="U13" s="69"/>
      <c r="V13" s="65"/>
    </row>
    <row r="14" spans="2:22" s="66" customFormat="1">
      <c r="B14" s="65" t="s">
        <v>1814</v>
      </c>
      <c r="C14" s="65"/>
      <c r="D14" s="370" t="str">
        <f t="shared" ref="D14:D99" si="0">VLOOKUP($B14,DATRUB,3,FALSE)</f>
        <v>RUBRO I:</v>
      </c>
      <c r="E14" s="371" t="str">
        <f>VLOOKUP($B14,DATRUB,4,FALSE)</f>
        <v>PRELIMINARES</v>
      </c>
      <c r="F14" s="367"/>
      <c r="G14" s="368"/>
      <c r="H14" s="369"/>
      <c r="I14" s="375"/>
      <c r="J14" s="375">
        <f>SUM(I15:I19)</f>
        <v>199737.34515894798</v>
      </c>
      <c r="K14" s="372"/>
      <c r="L14" s="376">
        <f>+J14/$I$101</f>
        <v>1.7896194114072259E-2</v>
      </c>
      <c r="M14"/>
      <c r="N14" s="316"/>
      <c r="O14" s="65"/>
      <c r="P14" s="69"/>
      <c r="Q14" s="65"/>
      <c r="R14" s="65"/>
      <c r="S14" s="65"/>
      <c r="T14" s="65"/>
      <c r="U14" s="69"/>
      <c r="V14" s="65"/>
    </row>
    <row r="15" spans="2:22" s="66" customFormat="1">
      <c r="B15" s="65" t="s">
        <v>1815</v>
      </c>
      <c r="C15" s="65" t="str">
        <f>"TR" &amp; TEXT('Rubros Sub RubRos'!D15,"##000")</f>
        <v>TR001</v>
      </c>
      <c r="D15" s="295">
        <f t="shared" si="0"/>
        <v>1.1000000000000001</v>
      </c>
      <c r="E15" s="325" t="str">
        <f t="shared" ref="E15:E99" si="1">VLOOKUP($B15,DATRUB,4,FALSE)</f>
        <v>Desmalezado, Limpieza, Replanteo y Demoliciones</v>
      </c>
      <c r="F15" s="249" t="str">
        <f t="shared" ref="F15:F99" si="2">VLOOKUP($B15,DATRUB,5,FALSE)</f>
        <v>m2</v>
      </c>
      <c r="G15" s="298">
        <f t="shared" ref="G15:G99" si="3">VLOOKUP($B15,DATRUB,6,FALSE)</f>
        <v>1036.8</v>
      </c>
      <c r="H15" s="293">
        <f>VLOOKUP($C15,DATAP,9,FALSE)</f>
        <v>35.287703780447295</v>
      </c>
      <c r="I15" s="184">
        <f>+H15*G15</f>
        <v>36586.291279567755</v>
      </c>
      <c r="J15" s="184"/>
      <c r="K15" s="373">
        <f t="shared" ref="K15:K19" si="4">+I15/$I$101</f>
        <v>3.2780818736330413E-3</v>
      </c>
      <c r="L15" s="374"/>
      <c r="M15"/>
      <c r="N15" s="316">
        <f>+I15/'GG (2)'!$G$30</f>
        <v>21644.850783628797</v>
      </c>
      <c r="O15" s="319">
        <f>+H15/'GG (2)'!$G$30</f>
        <v>20.876592190999997</v>
      </c>
      <c r="P15" s="69"/>
      <c r="Q15" s="65"/>
      <c r="R15" s="65"/>
      <c r="S15" s="65"/>
      <c r="T15" s="65"/>
      <c r="U15" s="69"/>
      <c r="V15" s="65"/>
    </row>
    <row r="16" spans="2:22" s="66" customFormat="1">
      <c r="B16" s="65" t="s">
        <v>1816</v>
      </c>
      <c r="C16" s="65" t="str">
        <f>"TR" &amp; TEXT('Rubros Sub RubRos'!D16,"##000")</f>
        <v>TR002</v>
      </c>
      <c r="D16" s="295">
        <f t="shared" si="0"/>
        <v>1.2</v>
      </c>
      <c r="E16" s="325" t="str">
        <f t="shared" si="1"/>
        <v>Obrador y Depósito</v>
      </c>
      <c r="F16" s="123" t="str">
        <f t="shared" si="2"/>
        <v>gl</v>
      </c>
      <c r="G16" s="290">
        <f t="shared" si="3"/>
        <v>1</v>
      </c>
      <c r="H16" s="293">
        <f>VLOOKUP($C16,DATAP,9,FALSE)</f>
        <v>21855.262694161</v>
      </c>
      <c r="I16" s="184">
        <f>+H16*G16</f>
        <v>21855.262694161</v>
      </c>
      <c r="J16" s="184"/>
      <c r="K16" s="373">
        <f t="shared" si="4"/>
        <v>1.9582017738219906E-3</v>
      </c>
      <c r="L16" s="374"/>
      <c r="M16"/>
      <c r="N16" s="316">
        <f>+I16/'GG (2)'!$G$30</f>
        <v>12929.81287</v>
      </c>
      <c r="O16" s="319">
        <f>+H16/'GG (2)'!$G$30</f>
        <v>12929.81287</v>
      </c>
      <c r="P16" s="69"/>
      <c r="Q16" s="65"/>
      <c r="R16" s="65"/>
      <c r="S16" s="65"/>
      <c r="T16" s="65"/>
      <c r="U16" s="69"/>
      <c r="V16" s="65"/>
    </row>
    <row r="17" spans="2:22" s="66" customFormat="1">
      <c r="B17" s="65" t="s">
        <v>1817</v>
      </c>
      <c r="C17" s="65" t="str">
        <f>"TR" &amp; TEXT('Rubros Sub RubRos'!D17,"##000")</f>
        <v>TR003</v>
      </c>
      <c r="D17" s="295">
        <f t="shared" si="0"/>
        <v>1.3</v>
      </c>
      <c r="E17" s="325" t="str">
        <f t="shared" si="1"/>
        <v>Calculo Tramitacion y Aprobacion de Planos</v>
      </c>
      <c r="F17" s="123" t="str">
        <f t="shared" si="2"/>
        <v>gl</v>
      </c>
      <c r="G17" s="290">
        <f t="shared" si="3"/>
        <v>1</v>
      </c>
      <c r="H17" s="293">
        <f>VLOOKUP($C17,DATAP,9,FALSE)</f>
        <v>50127.583517043844</v>
      </c>
      <c r="I17" s="184">
        <f>+H17*G17</f>
        <v>50127.583517043844</v>
      </c>
      <c r="J17" s="184"/>
      <c r="K17" s="373">
        <f t="shared" si="4"/>
        <v>4.4913632169111513E-3</v>
      </c>
      <c r="L17" s="374"/>
      <c r="M17"/>
      <c r="N17" s="316">
        <f>+I17/'GG (2)'!$G$30</f>
        <v>29656.027638315001</v>
      </c>
      <c r="O17" s="319">
        <f>+H17/'GG (2)'!$G$30</f>
        <v>29656.027638315001</v>
      </c>
      <c r="P17" s="69"/>
      <c r="Q17" s="65"/>
      <c r="R17" s="65"/>
      <c r="S17" s="65"/>
      <c r="T17" s="65"/>
      <c r="U17" s="69"/>
      <c r="V17" s="65"/>
    </row>
    <row r="18" spans="2:22" s="66" customFormat="1">
      <c r="B18" s="65" t="s">
        <v>1818</v>
      </c>
      <c r="C18" s="65" t="str">
        <f>"TR" &amp; TEXT('Rubros Sub RubRos'!D18,"##000")</f>
        <v>TR004</v>
      </c>
      <c r="D18" s="295">
        <f t="shared" si="0"/>
        <v>1.4</v>
      </c>
      <c r="E18" s="325" t="str">
        <f t="shared" si="1"/>
        <v>Equipamiento Oficina Direccion de Obra</v>
      </c>
      <c r="F18" s="123" t="str">
        <f t="shared" si="2"/>
        <v>gl</v>
      </c>
      <c r="G18" s="290">
        <f t="shared" si="3"/>
        <v>1</v>
      </c>
      <c r="H18" s="293">
        <f>VLOOKUP($C18,DATAP,9,FALSE)</f>
        <v>8843.743034087689</v>
      </c>
      <c r="I18" s="184">
        <f>+H18*G18</f>
        <v>8843.743034087689</v>
      </c>
      <c r="J18" s="184"/>
      <c r="K18" s="373">
        <f t="shared" si="4"/>
        <v>7.9238733200874014E-4</v>
      </c>
      <c r="L18" s="374"/>
      <c r="M18"/>
      <c r="N18" s="316">
        <f>+I18/'GG (2)'!$G$30</f>
        <v>5232.0552766300007</v>
      </c>
      <c r="O18" s="319">
        <f>+H18/'GG (2)'!$G$30</f>
        <v>5232.0552766300007</v>
      </c>
      <c r="P18" s="69"/>
      <c r="Q18" s="65"/>
      <c r="R18" s="65"/>
      <c r="S18" s="65"/>
      <c r="T18" s="65"/>
      <c r="U18" s="69"/>
      <c r="V18" s="65"/>
    </row>
    <row r="19" spans="2:22" s="66" customFormat="1">
      <c r="B19" s="65" t="s">
        <v>1819</v>
      </c>
      <c r="C19" s="65" t="str">
        <f>"TR" &amp; TEXT('Rubros Sub RubRos'!D19,"##000")</f>
        <v>TR005</v>
      </c>
      <c r="D19" s="295">
        <f t="shared" si="0"/>
        <v>1.5</v>
      </c>
      <c r="E19" s="325" t="str">
        <f t="shared" si="1"/>
        <v>Traslado de Inspeccion</v>
      </c>
      <c r="F19" s="123" t="str">
        <f t="shared" si="2"/>
        <v>gl</v>
      </c>
      <c r="G19" s="290">
        <f t="shared" si="3"/>
        <v>1</v>
      </c>
      <c r="H19" s="293">
        <f>VLOOKUP($C19,DATAP,9,FALSE)</f>
        <v>82324.464634087693</v>
      </c>
      <c r="I19" s="184">
        <f>+H19*G19</f>
        <v>82324.464634087693</v>
      </c>
      <c r="J19" s="184"/>
      <c r="K19" s="373">
        <f t="shared" si="4"/>
        <v>7.376159917697335E-3</v>
      </c>
      <c r="L19" s="374"/>
      <c r="M19"/>
      <c r="N19" s="316">
        <f>+I19/'GG (2)'!$G$30</f>
        <v>48704.055276630002</v>
      </c>
      <c r="O19" s="319">
        <f>+H19/'GG (2)'!$G$30</f>
        <v>48704.055276630002</v>
      </c>
      <c r="P19" s="69"/>
      <c r="Q19" s="65"/>
      <c r="R19" s="65"/>
      <c r="S19" s="65"/>
      <c r="T19" s="65"/>
      <c r="U19" s="69"/>
      <c r="V19" s="65"/>
    </row>
    <row r="20" spans="2:22" s="66" customFormat="1">
      <c r="B20" s="65" t="s">
        <v>1820</v>
      </c>
      <c r="C20" s="65"/>
      <c r="D20" s="370" t="str">
        <f t="shared" si="0"/>
        <v>RUBRO II:</v>
      </c>
      <c r="E20" s="371" t="str">
        <f>VLOOKUP($B20,DATRUB,4,FALSE)</f>
        <v xml:space="preserve"> MOVIMIENTO de SUELOS</v>
      </c>
      <c r="F20" s="367"/>
      <c r="G20" s="368"/>
      <c r="H20" s="369"/>
      <c r="I20" s="375"/>
      <c r="J20" s="375">
        <f>SUM(I21:I22)</f>
        <v>620232.49116336764</v>
      </c>
      <c r="K20" s="372"/>
      <c r="L20" s="376">
        <f>+J20/$I$101</f>
        <v>5.5571986545035826E-2</v>
      </c>
      <c r="M20"/>
      <c r="N20" s="316"/>
      <c r="O20" s="65"/>
      <c r="P20" s="69"/>
      <c r="Q20" s="65"/>
      <c r="R20" s="65"/>
      <c r="S20" s="65"/>
      <c r="T20" s="65"/>
      <c r="U20" s="69"/>
      <c r="V20" s="65"/>
    </row>
    <row r="21" spans="2:22" s="66" customFormat="1">
      <c r="B21" s="65" t="s">
        <v>1821</v>
      </c>
      <c r="C21" s="65" t="str">
        <f>"TR" &amp; TEXT('Rubros Sub RubRos'!D21,"##000")</f>
        <v>TR006</v>
      </c>
      <c r="D21" s="295">
        <f t="shared" si="0"/>
        <v>2.1</v>
      </c>
      <c r="E21" s="325" t="str">
        <f t="shared" si="1"/>
        <v>Relleno y compactacion con material de aporte</v>
      </c>
      <c r="F21" s="123" t="str">
        <f t="shared" si="2"/>
        <v>m3</v>
      </c>
      <c r="G21" s="290">
        <f t="shared" si="3"/>
        <v>996.52800000000002</v>
      </c>
      <c r="H21" s="293">
        <f>VLOOKUP($C21,DATAP,9,FALSE)</f>
        <v>579.32148501688494</v>
      </c>
      <c r="I21" s="184">
        <f>+H21*G21</f>
        <v>577310.08082090633</v>
      </c>
      <c r="J21" s="184"/>
      <c r="K21" s="373">
        <f>+I21/$I$101</f>
        <v>5.1726197032207016E-2</v>
      </c>
      <c r="L21" s="374"/>
      <c r="M21"/>
      <c r="N21" s="316">
        <f>+I21/'GG (2)'!$G$30</f>
        <v>341542.96918943757</v>
      </c>
      <c r="O21" s="319">
        <f>+H21/'GG (2)'!$G$30</f>
        <v>342.73293795000001</v>
      </c>
      <c r="P21" s="69"/>
      <c r="Q21" s="65"/>
      <c r="R21" s="65">
        <f>1500*0.8*1.2*75</f>
        <v>108000</v>
      </c>
      <c r="S21" s="65"/>
      <c r="T21" s="65"/>
      <c r="U21" s="69"/>
      <c r="V21" s="65"/>
    </row>
    <row r="22" spans="2:22" s="66" customFormat="1">
      <c r="B22" s="65" t="s">
        <v>1822</v>
      </c>
      <c r="C22" s="65" t="str">
        <f>"TR" &amp; TEXT('Rubros Sub RubRos'!D22,"##000")</f>
        <v>TR007</v>
      </c>
      <c r="D22" s="295">
        <f t="shared" si="0"/>
        <v>2.2000000000000002</v>
      </c>
      <c r="E22" s="325" t="str">
        <f t="shared" si="1"/>
        <v>Excavacion para Fundaciones</v>
      </c>
      <c r="F22" s="123" t="str">
        <f t="shared" si="2"/>
        <v>m3</v>
      </c>
      <c r="G22" s="290">
        <f t="shared" si="3"/>
        <v>107</v>
      </c>
      <c r="H22" s="293">
        <f>VLOOKUP($C22,DATAP,9,FALSE)</f>
        <v>401.14402189216202</v>
      </c>
      <c r="I22" s="184">
        <f>+H22*G22</f>
        <v>42922.410342461335</v>
      </c>
      <c r="J22" s="184"/>
      <c r="K22" s="373">
        <f>+I22/$I$101</f>
        <v>3.8457895128288116E-3</v>
      </c>
      <c r="L22" s="374"/>
      <c r="M22"/>
      <c r="N22" s="316">
        <f>+I22/'GG (2)'!$G$30</f>
        <v>25393.368243780002</v>
      </c>
      <c r="O22" s="319">
        <f>+H22/'GG (2)'!$G$30</f>
        <v>237.32119854000001</v>
      </c>
      <c r="P22" s="69"/>
      <c r="Q22" s="65"/>
      <c r="R22" s="65"/>
      <c r="S22" s="65"/>
      <c r="T22" s="65"/>
      <c r="U22" s="69"/>
      <c r="V22" s="65"/>
    </row>
    <row r="23" spans="2:22" s="66" customFormat="1">
      <c r="B23" s="65" t="s">
        <v>1823</v>
      </c>
      <c r="C23" s="65"/>
      <c r="D23" s="370" t="str">
        <f t="shared" si="0"/>
        <v>RUBRO III:</v>
      </c>
      <c r="E23" s="371" t="str">
        <f t="shared" si="1"/>
        <v xml:space="preserve"> ESTRUCTURA RESISTENTE</v>
      </c>
      <c r="F23" s="367"/>
      <c r="G23" s="368"/>
      <c r="H23" s="369"/>
      <c r="I23" s="375"/>
      <c r="J23" s="375">
        <f>SUM(I24:I32)</f>
        <v>3338795.1665642327</v>
      </c>
      <c r="K23" s="372"/>
      <c r="L23" s="376">
        <f>+J23/$I$101</f>
        <v>0.29915149998819801</v>
      </c>
      <c r="M23"/>
      <c r="N23" s="316"/>
      <c r="O23" s="65"/>
      <c r="P23" s="69"/>
      <c r="Q23" s="65"/>
      <c r="R23" s="65"/>
      <c r="S23" s="65"/>
      <c r="T23" s="65"/>
      <c r="U23" s="69"/>
      <c r="V23" s="65"/>
    </row>
    <row r="24" spans="2:22" s="66" customFormat="1">
      <c r="B24" s="65" t="s">
        <v>1824</v>
      </c>
      <c r="C24" s="65" t="str">
        <f>"TR" &amp; TEXT('Rubros Sub RubRos'!D24,"##000")</f>
        <v>TR008</v>
      </c>
      <c r="D24" s="295">
        <f t="shared" si="0"/>
        <v>3.1</v>
      </c>
      <c r="E24" s="325" t="str">
        <f t="shared" si="1"/>
        <v>Hormigón de Limpieza</v>
      </c>
      <c r="F24" s="123" t="str">
        <f t="shared" si="2"/>
        <v>m3</v>
      </c>
      <c r="G24" s="290">
        <f t="shared" si="3"/>
        <v>22.27</v>
      </c>
      <c r="H24" s="293">
        <f t="shared" ref="H24:H32" si="5">VLOOKUP($C24,DATAP,9,FALSE)</f>
        <v>4518.9607812077693</v>
      </c>
      <c r="I24" s="184">
        <f t="shared" ref="I24:I32" si="6">+H24*G24</f>
        <v>100637.25659749702</v>
      </c>
      <c r="J24" s="184"/>
      <c r="K24" s="373">
        <f t="shared" ref="K24:K32" si="7">+I24/$I$101</f>
        <v>9.016961138355364E-3</v>
      </c>
      <c r="L24" s="374"/>
      <c r="M24"/>
      <c r="N24" s="316">
        <f>+I24/'GG (2)'!$G$30</f>
        <v>59538.103648758814</v>
      </c>
      <c r="O24" s="319">
        <f>+H24/'GG (2)'!$G$30</f>
        <v>2673.4667107659998</v>
      </c>
      <c r="P24" s="69"/>
      <c r="Q24" s="65"/>
      <c r="R24" s="65"/>
      <c r="S24" s="65"/>
      <c r="T24" s="65"/>
      <c r="U24" s="69"/>
      <c r="V24" s="65"/>
    </row>
    <row r="25" spans="2:22" s="66" customFormat="1">
      <c r="B25" s="65" t="s">
        <v>1825</v>
      </c>
      <c r="C25" s="65" t="str">
        <f>"TR" &amp; TEXT('Rubros Sub RubRos'!D25,"##000")</f>
        <v>TR009</v>
      </c>
      <c r="D25" s="295">
        <f t="shared" si="0"/>
        <v>3.2</v>
      </c>
      <c r="E25" s="325" t="str">
        <f t="shared" si="1"/>
        <v>Cimiento comun con Piedra Bola</v>
      </c>
      <c r="F25" s="123" t="str">
        <f t="shared" si="2"/>
        <v>m3</v>
      </c>
      <c r="G25" s="290">
        <f t="shared" si="3"/>
        <v>68.900000000000006</v>
      </c>
      <c r="H25" s="293">
        <f t="shared" si="5"/>
        <v>4919.6566209773282</v>
      </c>
      <c r="I25" s="184">
        <f t="shared" si="6"/>
        <v>338964.34118533792</v>
      </c>
      <c r="J25" s="184"/>
      <c r="K25" s="373">
        <f t="shared" si="7"/>
        <v>3.037074335184568E-2</v>
      </c>
      <c r="L25" s="374"/>
      <c r="M25"/>
      <c r="N25" s="316">
        <f>+I25/'GG (2)'!$G$30</f>
        <v>200535.01815378212</v>
      </c>
      <c r="O25" s="319">
        <f>+H25/'GG (2)'!$G$30</f>
        <v>2910.5227598516999</v>
      </c>
      <c r="P25" s="69"/>
      <c r="Q25" s="65"/>
      <c r="R25" s="65"/>
      <c r="S25" s="65"/>
      <c r="T25" s="65"/>
      <c r="U25" s="69"/>
      <c r="V25" s="65"/>
    </row>
    <row r="26" spans="2:22" s="66" customFormat="1">
      <c r="B26" s="65" t="s">
        <v>1827</v>
      </c>
      <c r="C26" s="65" t="str">
        <f>"TR" &amp; TEXT('Rubros Sub RubRos'!D26,"##000")</f>
        <v>TR010</v>
      </c>
      <c r="D26" s="295">
        <f t="shared" si="0"/>
        <v>3.3</v>
      </c>
      <c r="E26" s="325" t="str">
        <f t="shared" si="1"/>
        <v>Bases de Columnas</v>
      </c>
      <c r="F26" s="123" t="str">
        <f t="shared" si="2"/>
        <v>m3</v>
      </c>
      <c r="G26" s="290">
        <f t="shared" si="3"/>
        <v>14.48</v>
      </c>
      <c r="H26" s="293">
        <f t="shared" si="5"/>
        <v>5325.0772545994205</v>
      </c>
      <c r="I26" s="184">
        <f t="shared" si="6"/>
        <v>77107.118646599614</v>
      </c>
      <c r="J26" s="184"/>
      <c r="K26" s="373">
        <f t="shared" si="7"/>
        <v>6.9086928224575354E-3</v>
      </c>
      <c r="L26" s="374"/>
      <c r="M26"/>
      <c r="N26" s="316">
        <f>+I26/'GG (2)'!$G$30</f>
        <v>45617.416225876834</v>
      </c>
      <c r="O26" s="319">
        <f>+H26/'GG (2)'!$G$30</f>
        <v>3150.3740487484001</v>
      </c>
      <c r="P26" s="69"/>
      <c r="Q26" s="65"/>
      <c r="R26" s="65"/>
      <c r="S26" s="65"/>
      <c r="T26" s="65"/>
      <c r="U26" s="69"/>
      <c r="V26" s="65"/>
    </row>
    <row r="27" spans="2:22" s="66" customFormat="1">
      <c r="B27" s="65" t="s">
        <v>1826</v>
      </c>
      <c r="C27" s="65" t="str">
        <f>"TR" &amp; TEXT('Rubros Sub RubRos'!D27,"##000")</f>
        <v>TR011</v>
      </c>
      <c r="D27" s="295">
        <f t="shared" si="0"/>
        <v>3.4</v>
      </c>
      <c r="E27" s="325" t="str">
        <f t="shared" si="1"/>
        <v>Vigas de Arriostramiento y Fundacion</v>
      </c>
      <c r="F27" s="123" t="str">
        <f t="shared" si="2"/>
        <v>m3</v>
      </c>
      <c r="G27" s="290">
        <f t="shared" si="3"/>
        <v>23.8</v>
      </c>
      <c r="H27" s="293">
        <f t="shared" si="5"/>
        <v>11581.977044832493</v>
      </c>
      <c r="I27" s="184">
        <f t="shared" si="6"/>
        <v>275651.05366701336</v>
      </c>
      <c r="J27" s="184"/>
      <c r="K27" s="373">
        <f t="shared" si="7"/>
        <v>2.4697959013361921E-2</v>
      </c>
      <c r="L27" s="374"/>
      <c r="M27"/>
      <c r="N27" s="316">
        <f>+I27/'GG (2)'!$G$30</f>
        <v>163078.18355736459</v>
      </c>
      <c r="O27" s="319">
        <f>+H27/'GG (2)'!$G$30</f>
        <v>6852.0245192169987</v>
      </c>
      <c r="P27" s="69"/>
      <c r="Q27" s="65"/>
      <c r="R27" s="65"/>
      <c r="S27" s="65"/>
      <c r="T27" s="65"/>
      <c r="U27" s="69"/>
      <c r="V27" s="65"/>
    </row>
    <row r="28" spans="2:22" s="66" customFormat="1">
      <c r="B28" s="65" t="s">
        <v>1828</v>
      </c>
      <c r="C28" s="65" t="str">
        <f>"TR" &amp; TEXT('Rubros Sub RubRos'!D28,"##000")</f>
        <v>TR012</v>
      </c>
      <c r="D28" s="295">
        <f t="shared" si="0"/>
        <v>3.5</v>
      </c>
      <c r="E28" s="325" t="str">
        <f t="shared" si="1"/>
        <v>Columnas de Carga</v>
      </c>
      <c r="F28" s="123" t="str">
        <f t="shared" si="2"/>
        <v>m3</v>
      </c>
      <c r="G28" s="290">
        <f t="shared" si="3"/>
        <v>11.74</v>
      </c>
      <c r="H28" s="293">
        <f t="shared" si="5"/>
        <v>14553.068850689797</v>
      </c>
      <c r="I28" s="184">
        <f t="shared" si="6"/>
        <v>170853.02830709823</v>
      </c>
      <c r="J28" s="184"/>
      <c r="K28" s="373">
        <f t="shared" si="7"/>
        <v>1.5308198660234043E-2</v>
      </c>
      <c r="L28" s="374"/>
      <c r="M28"/>
      <c r="N28" s="316">
        <f>+I28/'GG (2)'!$G$30</f>
        <v>101078.52352073492</v>
      </c>
      <c r="O28" s="319">
        <f>+H28/'GG (2)'!$G$30</f>
        <v>8609.7549847304017</v>
      </c>
      <c r="P28" s="69"/>
      <c r="Q28" s="65"/>
      <c r="R28" s="65"/>
      <c r="S28" s="65"/>
      <c r="T28" s="65"/>
      <c r="U28" s="69"/>
      <c r="V28" s="65"/>
    </row>
    <row r="29" spans="2:22" s="66" customFormat="1">
      <c r="B29" s="65" t="s">
        <v>1829</v>
      </c>
      <c r="C29" s="65" t="str">
        <f>"TR" &amp; TEXT('Rubros Sub RubRos'!D29,"##000")</f>
        <v>TR013</v>
      </c>
      <c r="D29" s="295">
        <f t="shared" si="0"/>
        <v>3.6</v>
      </c>
      <c r="E29" s="325" t="str">
        <f t="shared" si="1"/>
        <v>Columnas de Encadenado</v>
      </c>
      <c r="F29" s="123" t="str">
        <f t="shared" si="2"/>
        <v>m3</v>
      </c>
      <c r="G29" s="290">
        <f t="shared" si="3"/>
        <v>11.64</v>
      </c>
      <c r="H29" s="293">
        <f t="shared" si="5"/>
        <v>10291.922730508031</v>
      </c>
      <c r="I29" s="184">
        <f t="shared" si="6"/>
        <v>119797.98058311349</v>
      </c>
      <c r="J29" s="184"/>
      <c r="K29" s="373">
        <f t="shared" si="7"/>
        <v>1.0733735913447496E-2</v>
      </c>
      <c r="L29" s="374"/>
      <c r="M29"/>
      <c r="N29" s="316">
        <f>+I29/'GG (2)'!$G$30</f>
        <v>70873.797895706972</v>
      </c>
      <c r="O29" s="319">
        <f>+H29/'GG (2)'!$G$30</f>
        <v>6088.8142522085027</v>
      </c>
      <c r="P29" s="69"/>
      <c r="Q29" s="65"/>
      <c r="R29" s="65"/>
      <c r="S29" s="65"/>
      <c r="T29" s="65"/>
      <c r="U29" s="69"/>
      <c r="V29" s="65"/>
    </row>
    <row r="30" spans="2:22" s="66" customFormat="1">
      <c r="B30" s="65" t="s">
        <v>1830</v>
      </c>
      <c r="C30" s="65" t="str">
        <f>"TR" &amp; TEXT('Rubros Sub RubRos'!D30,"##000")</f>
        <v>TR014</v>
      </c>
      <c r="D30" s="295">
        <f t="shared" si="0"/>
        <v>3.7</v>
      </c>
      <c r="E30" s="325" t="str">
        <f t="shared" si="1"/>
        <v>Vigas de Encadenado</v>
      </c>
      <c r="F30" s="123" t="str">
        <f t="shared" si="2"/>
        <v>m3</v>
      </c>
      <c r="G30" s="290">
        <f t="shared" si="3"/>
        <v>15.58</v>
      </c>
      <c r="H30" s="293">
        <f t="shared" si="5"/>
        <v>10283.133170508032</v>
      </c>
      <c r="I30" s="184">
        <f t="shared" si="6"/>
        <v>160211.21479651515</v>
      </c>
      <c r="J30" s="184"/>
      <c r="K30" s="373">
        <f t="shared" si="7"/>
        <v>1.4354706662232389E-2</v>
      </c>
      <c r="L30" s="374"/>
      <c r="M30"/>
      <c r="N30" s="316">
        <f>+I30/'GG (2)'!$G$30</f>
        <v>94782.710049408488</v>
      </c>
      <c r="O30" s="319">
        <f>+H30/'GG (2)'!$G$30</f>
        <v>6083.6142522085029</v>
      </c>
      <c r="P30" s="69"/>
      <c r="Q30" s="65"/>
      <c r="R30" s="65"/>
      <c r="S30" s="65"/>
      <c r="T30" s="65"/>
      <c r="U30" s="69"/>
      <c r="V30" s="65"/>
    </row>
    <row r="31" spans="2:22" s="66" customFormat="1">
      <c r="B31" s="65" t="s">
        <v>1831</v>
      </c>
      <c r="C31" s="65" t="str">
        <f>"TR" &amp; TEXT('Rubros Sub RubRos'!D31,"##000")</f>
        <v>TR015</v>
      </c>
      <c r="D31" s="295">
        <f t="shared" si="0"/>
        <v>3.8</v>
      </c>
      <c r="E31" s="325" t="str">
        <f t="shared" si="1"/>
        <v>Vigas de Carga</v>
      </c>
      <c r="F31" s="123" t="str">
        <f t="shared" si="2"/>
        <v>m3</v>
      </c>
      <c r="G31" s="290">
        <f t="shared" si="3"/>
        <v>34.75</v>
      </c>
      <c r="H31" s="293">
        <f t="shared" si="5"/>
        <v>16197.517221795535</v>
      </c>
      <c r="I31" s="184">
        <f t="shared" si="6"/>
        <v>562863.72345739487</v>
      </c>
      <c r="J31" s="184"/>
      <c r="K31" s="373">
        <f t="shared" si="7"/>
        <v>5.0431823086198473E-2</v>
      </c>
      <c r="L31" s="374"/>
      <c r="M31"/>
      <c r="N31" s="316">
        <f>+I31/'GG (2)'!$G$30</f>
        <v>332996.34588972072</v>
      </c>
      <c r="O31" s="319">
        <f>+H31/'GG (2)'!$G$30</f>
        <v>9582.6286586969982</v>
      </c>
      <c r="P31" s="69"/>
      <c r="Q31" s="65"/>
      <c r="R31" s="65"/>
      <c r="S31" s="65"/>
      <c r="T31" s="65"/>
      <c r="U31" s="69"/>
      <c r="V31" s="65"/>
    </row>
    <row r="32" spans="2:22" s="66" customFormat="1">
      <c r="B32" s="65" t="s">
        <v>1832</v>
      </c>
      <c r="C32" s="65" t="str">
        <f>"TR" &amp; TEXT('Rubros Sub RubRos'!D32,"##000")</f>
        <v>TR016</v>
      </c>
      <c r="D32" s="295">
        <f t="shared" si="0"/>
        <v>3.9</v>
      </c>
      <c r="E32" s="325" t="str">
        <f t="shared" si="1"/>
        <v>Losa Maciza de Hormigon visto</v>
      </c>
      <c r="F32" s="123" t="str">
        <f t="shared" si="2"/>
        <v>m3</v>
      </c>
      <c r="G32" s="290">
        <f t="shared" si="3"/>
        <v>96.79</v>
      </c>
      <c r="H32" s="293">
        <f t="shared" si="5"/>
        <v>15835.411192516405</v>
      </c>
      <c r="I32" s="184">
        <f t="shared" si="6"/>
        <v>1532709.449323663</v>
      </c>
      <c r="J32" s="184"/>
      <c r="K32" s="373">
        <f t="shared" si="7"/>
        <v>0.1373286793400651</v>
      </c>
      <c r="L32" s="374"/>
      <c r="M32"/>
      <c r="N32" s="316">
        <f>+I32/'GG (2)'!$G$30</f>
        <v>906767.70355774893</v>
      </c>
      <c r="O32" s="319">
        <f>+H32/'GG (2)'!$G$30</f>
        <v>9368.4027643119007</v>
      </c>
      <c r="P32" s="556">
        <f>+O32*0.12</f>
        <v>1124.2083317174281</v>
      </c>
      <c r="Q32" s="65"/>
      <c r="R32" s="65"/>
      <c r="S32" s="65"/>
      <c r="T32" s="65"/>
      <c r="U32" s="69"/>
      <c r="V32" s="65"/>
    </row>
    <row r="33" spans="2:22" s="66" customFormat="1">
      <c r="B33" s="65" t="s">
        <v>1833</v>
      </c>
      <c r="C33" s="65"/>
      <c r="D33" s="370" t="str">
        <f t="shared" si="0"/>
        <v>RUBRO IV:</v>
      </c>
      <c r="E33" s="371" t="str">
        <f t="shared" si="1"/>
        <v>ALBAÑILERÍA</v>
      </c>
      <c r="F33" s="367"/>
      <c r="G33" s="368"/>
      <c r="H33" s="369"/>
      <c r="I33" s="375"/>
      <c r="J33" s="375">
        <f>SUM(I34:I39)</f>
        <v>696416.75029624987</v>
      </c>
      <c r="K33" s="372"/>
      <c r="L33" s="376">
        <f>+J33/$I$101</f>
        <v>6.2397992411859893E-2</v>
      </c>
      <c r="M33"/>
      <c r="N33" s="316"/>
      <c r="O33" s="65"/>
      <c r="P33" s="69"/>
      <c r="Q33" s="65"/>
      <c r="R33" s="65"/>
      <c r="S33" s="65"/>
      <c r="T33" s="65"/>
      <c r="U33" s="69"/>
      <c r="V33" s="65"/>
    </row>
    <row r="34" spans="2:22" s="66" customFormat="1">
      <c r="B34" s="65" t="s">
        <v>1834</v>
      </c>
      <c r="C34" s="65" t="str">
        <f>"TR" &amp; TEXT('Rubros Sub RubRos'!D34,"##000")</f>
        <v>TR017</v>
      </c>
      <c r="D34" s="295">
        <f t="shared" si="0"/>
        <v>4.0999999999999996</v>
      </c>
      <c r="E34" s="325" t="str">
        <f t="shared" si="1"/>
        <v>Mamposteria de ladrillon de 0.30 de espesor</v>
      </c>
      <c r="F34" s="123" t="str">
        <f t="shared" si="2"/>
        <v>m2</v>
      </c>
      <c r="G34" s="290">
        <f t="shared" si="3"/>
        <v>490</v>
      </c>
      <c r="H34" s="293">
        <f t="shared" ref="H34:H39" si="8">VLOOKUP($C34,DATAP,9,FALSE)</f>
        <v>1055.0970267032367</v>
      </c>
      <c r="I34" s="184">
        <f t="shared" ref="I34:I39" si="9">+H34*G34</f>
        <v>516997.54308458598</v>
      </c>
      <c r="J34" s="184"/>
      <c r="K34" s="373">
        <f t="shared" ref="K34:K39" si="10">+I34/$I$101</f>
        <v>4.6322275787621763E-2</v>
      </c>
      <c r="L34" s="374"/>
      <c r="M34"/>
      <c r="N34" s="316">
        <f>+I34/'GG (2)'!$G$30</f>
        <v>305861.41104217357</v>
      </c>
      <c r="O34" s="319">
        <f>+H34/'GG (2)'!$G$30</f>
        <v>624.20696131055831</v>
      </c>
      <c r="P34" s="69"/>
      <c r="Q34" s="65"/>
      <c r="R34" s="65"/>
      <c r="S34" s="65"/>
      <c r="T34" s="65"/>
      <c r="U34" s="69"/>
      <c r="V34" s="65"/>
    </row>
    <row r="35" spans="2:22" s="66" customFormat="1">
      <c r="B35" s="65" t="s">
        <v>1835</v>
      </c>
      <c r="C35" s="65" t="str">
        <f>"TR" &amp; TEXT('Rubros Sub RubRos'!D35,"##000")</f>
        <v>TR018</v>
      </c>
      <c r="D35" s="295">
        <f t="shared" si="0"/>
        <v>4.2</v>
      </c>
      <c r="E35" s="325" t="str">
        <f t="shared" si="1"/>
        <v>Mamposteria de ladrillon de 0.20 de espesor</v>
      </c>
      <c r="F35" s="123" t="str">
        <f t="shared" si="2"/>
        <v>m2</v>
      </c>
      <c r="G35" s="290">
        <f t="shared" si="3"/>
        <v>132.5</v>
      </c>
      <c r="H35" s="293">
        <f t="shared" si="8"/>
        <v>736.51232579089378</v>
      </c>
      <c r="I35" s="184">
        <f t="shared" si="9"/>
        <v>97587.883167293432</v>
      </c>
      <c r="J35" s="184"/>
      <c r="K35" s="373">
        <f t="shared" si="10"/>
        <v>8.7437414317962821E-3</v>
      </c>
      <c r="L35" s="374"/>
      <c r="M35"/>
      <c r="N35" s="316">
        <f>+I35/'GG (2)'!$G$30</f>
        <v>57734.060916578972</v>
      </c>
      <c r="O35" s="319">
        <f>+H35/'GG (2)'!$G$30</f>
        <v>435.72876163455828</v>
      </c>
      <c r="P35" s="69"/>
      <c r="Q35" s="65"/>
      <c r="R35" s="65"/>
      <c r="S35" s="65"/>
      <c r="T35" s="65"/>
      <c r="U35" s="69"/>
      <c r="V35" s="65"/>
    </row>
    <row r="36" spans="2:22" s="66" customFormat="1">
      <c r="B36" s="65" t="s">
        <v>1836</v>
      </c>
      <c r="C36" s="65" t="str">
        <f>"TR" &amp; TEXT('Rubros Sub RubRos'!D36,"##000")</f>
        <v>TR019</v>
      </c>
      <c r="D36" s="295">
        <f t="shared" si="0"/>
        <v>4.3</v>
      </c>
      <c r="E36" s="325" t="str">
        <f t="shared" si="1"/>
        <v>Mamposteria de ladrillo de 0.12 de espesor</v>
      </c>
      <c r="F36" s="123" t="str">
        <f t="shared" si="2"/>
        <v>m2</v>
      </c>
      <c r="G36" s="290">
        <f t="shared" si="3"/>
        <v>26.5</v>
      </c>
      <c r="H36" s="293">
        <f t="shared" si="8"/>
        <v>695.20139379089392</v>
      </c>
      <c r="I36" s="184">
        <f t="shared" si="9"/>
        <v>18422.83693545869</v>
      </c>
      <c r="J36" s="184"/>
      <c r="K36" s="373">
        <f t="shared" si="10"/>
        <v>1.6506611002889799E-3</v>
      </c>
      <c r="L36" s="374"/>
      <c r="M36"/>
      <c r="N36" s="316">
        <f>+I36/'GG (2)'!$G$30</f>
        <v>10899.152183315797</v>
      </c>
      <c r="O36" s="319">
        <f>+H36/'GG (2)'!$G$30</f>
        <v>411.28876163455834</v>
      </c>
      <c r="P36" s="69"/>
      <c r="Q36" s="65"/>
      <c r="R36" s="65"/>
      <c r="S36" s="65"/>
      <c r="T36" s="65"/>
      <c r="U36" s="69"/>
      <c r="V36" s="65"/>
    </row>
    <row r="37" spans="2:22" s="66" customFormat="1">
      <c r="B37" s="65" t="s">
        <v>1837</v>
      </c>
      <c r="C37" s="65" t="str">
        <f>"TR" &amp; TEXT('Rubros Sub RubRos'!D37,"##000")</f>
        <v>TR020</v>
      </c>
      <c r="D37" s="295">
        <f t="shared" si="0"/>
        <v>4.4000000000000004</v>
      </c>
      <c r="E37" s="325" t="str">
        <f t="shared" si="1"/>
        <v>Capa Aisladora</v>
      </c>
      <c r="F37" s="123" t="str">
        <f t="shared" si="2"/>
        <v>m2</v>
      </c>
      <c r="G37" s="290">
        <f t="shared" si="3"/>
        <v>56.956000000000003</v>
      </c>
      <c r="H37" s="293">
        <f t="shared" si="8"/>
        <v>147.74197886633002</v>
      </c>
      <c r="I37" s="184">
        <f t="shared" si="9"/>
        <v>8414.7921483106929</v>
      </c>
      <c r="J37" s="184"/>
      <c r="K37" s="373">
        <f t="shared" si="10"/>
        <v>7.5395391680959723E-4</v>
      </c>
      <c r="L37" s="374"/>
      <c r="M37"/>
      <c r="N37" s="316">
        <f>+I37/'GG (2)'!$G$30</f>
        <v>4978.2832327460765</v>
      </c>
      <c r="O37" s="319">
        <f>+H37/'GG (2)'!$G$30</f>
        <v>87.405773452245171</v>
      </c>
      <c r="P37" s="69"/>
      <c r="Q37" s="65"/>
      <c r="R37" s="65"/>
      <c r="S37" s="65"/>
      <c r="T37" s="65"/>
      <c r="U37" s="69"/>
      <c r="V37" s="65"/>
    </row>
    <row r="38" spans="2:22" s="66" customFormat="1">
      <c r="B38" s="65" t="s">
        <v>1838</v>
      </c>
      <c r="C38" s="65" t="str">
        <f>"TR" &amp; TEXT('Rubros Sub RubRos'!D38,"##000")</f>
        <v>TR021</v>
      </c>
      <c r="D38" s="295">
        <f t="shared" si="0"/>
        <v>4.5</v>
      </c>
      <c r="E38" s="325" t="str">
        <f t="shared" si="1"/>
        <v>Tabiques divisorios en sanitarios</v>
      </c>
      <c r="F38" s="123" t="str">
        <f t="shared" si="2"/>
        <v>m2</v>
      </c>
      <c r="G38" s="290">
        <f t="shared" si="3"/>
        <v>15.280000000000001</v>
      </c>
      <c r="H38" s="293">
        <f t="shared" si="8"/>
        <v>1192.4079730327376</v>
      </c>
      <c r="I38" s="184">
        <f t="shared" si="9"/>
        <v>18219.99382794023</v>
      </c>
      <c r="J38" s="184"/>
      <c r="K38" s="373">
        <f t="shared" si="10"/>
        <v>1.6324866340970757E-3</v>
      </c>
      <c r="L38" s="374"/>
      <c r="M38"/>
      <c r="N38" s="316">
        <f>+I38/'GG (2)'!$G$30</f>
        <v>10779.147978430001</v>
      </c>
      <c r="O38" s="319">
        <f>+H38/'GG (2)'!$G$30</f>
        <v>705.44162162500004</v>
      </c>
      <c r="P38" s="69"/>
      <c r="Q38" s="65"/>
      <c r="R38" s="65"/>
      <c r="S38" s="65"/>
      <c r="T38" s="65"/>
      <c r="U38" s="69"/>
      <c r="V38" s="65"/>
    </row>
    <row r="39" spans="2:22" s="66" customFormat="1">
      <c r="B39" s="65" t="s">
        <v>1839</v>
      </c>
      <c r="C39" s="65" t="str">
        <f>"TR" &amp; TEXT('Rubros Sub RubRos'!D39,"##000")</f>
        <v>TR022</v>
      </c>
      <c r="D39" s="295">
        <f t="shared" si="0"/>
        <v>4.5999999999999996</v>
      </c>
      <c r="E39" s="325" t="str">
        <f t="shared" si="1"/>
        <v>Tabiques de roca de yeso tipo Durlock</v>
      </c>
      <c r="F39" s="123" t="str">
        <f t="shared" si="2"/>
        <v>m2</v>
      </c>
      <c r="G39" s="290">
        <f t="shared" si="3"/>
        <v>45.6</v>
      </c>
      <c r="H39" s="293">
        <f t="shared" si="8"/>
        <v>806.44081431273753</v>
      </c>
      <c r="I39" s="184">
        <f t="shared" si="9"/>
        <v>36773.701132660834</v>
      </c>
      <c r="J39" s="184"/>
      <c r="K39" s="373">
        <f t="shared" si="10"/>
        <v>3.2948735412461983E-3</v>
      </c>
      <c r="L39" s="374"/>
      <c r="M39"/>
      <c r="N39" s="316">
        <f>+I39/'GG (2)'!$G$30</f>
        <v>21755.724506100003</v>
      </c>
      <c r="O39" s="319">
        <f>+H39/'GG (2)'!$G$30</f>
        <v>477.09922162500004</v>
      </c>
      <c r="P39" s="69"/>
      <c r="Q39" s="65"/>
      <c r="R39" s="65"/>
      <c r="S39" s="65"/>
      <c r="T39" s="65"/>
      <c r="U39" s="69"/>
      <c r="V39" s="65"/>
    </row>
    <row r="40" spans="2:22" s="66" customFormat="1">
      <c r="B40" s="65" t="s">
        <v>1840</v>
      </c>
      <c r="C40" s="65"/>
      <c r="D40" s="370" t="str">
        <f t="shared" si="0"/>
        <v>RUBRO V:</v>
      </c>
      <c r="E40" s="371" t="str">
        <f t="shared" si="1"/>
        <v>REVOQUES</v>
      </c>
      <c r="F40" s="367"/>
      <c r="G40" s="368"/>
      <c r="H40" s="369"/>
      <c r="I40" s="375"/>
      <c r="J40" s="375">
        <f>SUM(I41:I44)</f>
        <v>530618.68744563614</v>
      </c>
      <c r="K40" s="372"/>
      <c r="L40" s="376">
        <f>+J40/$I$101</f>
        <v>4.7542711772425549E-2</v>
      </c>
      <c r="M40"/>
      <c r="N40" s="316"/>
      <c r="O40" s="65"/>
      <c r="P40" s="69"/>
      <c r="Q40" s="65"/>
      <c r="R40" s="65"/>
      <c r="S40" s="65"/>
      <c r="T40" s="65"/>
      <c r="U40" s="69"/>
      <c r="V40" s="65"/>
    </row>
    <row r="41" spans="2:22" s="66" customFormat="1">
      <c r="B41" s="65" t="s">
        <v>1841</v>
      </c>
      <c r="C41" s="65" t="str">
        <f>"TR" &amp; TEXT('Rubros Sub RubRos'!D41,"##000")</f>
        <v>TR023</v>
      </c>
      <c r="D41" s="295">
        <f t="shared" si="0"/>
        <v>5.0999999999999996</v>
      </c>
      <c r="E41" s="325" t="str">
        <f t="shared" si="1"/>
        <v>Grueso Interior/Exterior</v>
      </c>
      <c r="F41" s="123" t="str">
        <f t="shared" si="2"/>
        <v>m2</v>
      </c>
      <c r="G41" s="290">
        <f t="shared" si="3"/>
        <v>1139.6600000000001</v>
      </c>
      <c r="H41" s="293">
        <f>VLOOKUP($C41,DATAP,9,FALSE)</f>
        <v>230.7119541592165</v>
      </c>
      <c r="I41" s="184">
        <f>+H41*G41</f>
        <v>262933.1856770927</v>
      </c>
      <c r="J41" s="184"/>
      <c r="K41" s="373">
        <f t="shared" ref="K41:K44" si="11">+I41/$I$101</f>
        <v>2.3558455361285018E-2</v>
      </c>
      <c r="L41" s="374"/>
      <c r="M41"/>
      <c r="N41" s="316">
        <f>+I41/'GG (2)'!$G$30</f>
        <v>155554.15350949104</v>
      </c>
      <c r="O41" s="319">
        <f>+H41/'GG (2)'!$G$30</f>
        <v>136.49171990724517</v>
      </c>
      <c r="P41" s="69"/>
      <c r="Q41" s="65"/>
      <c r="R41" s="65"/>
      <c r="S41" s="65"/>
      <c r="T41" s="65"/>
      <c r="U41" s="69"/>
      <c r="V41" s="65"/>
    </row>
    <row r="42" spans="2:22" s="66" customFormat="1">
      <c r="B42" s="65" t="s">
        <v>1842</v>
      </c>
      <c r="C42" s="65" t="str">
        <f>"TR" &amp; TEXT('Rubros Sub RubRos'!D42,"##000")</f>
        <v>TR024</v>
      </c>
      <c r="D42" s="295">
        <f t="shared" si="0"/>
        <v>5.2</v>
      </c>
      <c r="E42" s="325" t="str">
        <f t="shared" si="1"/>
        <v>Enlucido a la cal Interior</v>
      </c>
      <c r="F42" s="123" t="str">
        <f t="shared" si="2"/>
        <v>m2</v>
      </c>
      <c r="G42" s="290">
        <f t="shared" si="3"/>
        <v>842.66000000000008</v>
      </c>
      <c r="H42" s="293">
        <f>VLOOKUP($C42,DATAP,9,FALSE)</f>
        <v>169.34199981368684</v>
      </c>
      <c r="I42" s="184">
        <f>+H42*G42</f>
        <v>142697.72956300137</v>
      </c>
      <c r="J42" s="184"/>
      <c r="K42" s="373">
        <f t="shared" si="11"/>
        <v>1.2785522236037667E-2</v>
      </c>
      <c r="L42" s="374"/>
      <c r="M42"/>
      <c r="N42" s="316">
        <f>+I42/'GG (2)'!$G$30</f>
        <v>84421.5402963979</v>
      </c>
      <c r="O42" s="319">
        <f>+H42/'GG (2)'!$G$30</f>
        <v>100.1845825082452</v>
      </c>
      <c r="P42" s="69"/>
      <c r="Q42" s="65"/>
      <c r="R42" s="65"/>
      <c r="S42" s="65"/>
      <c r="T42" s="65"/>
      <c r="U42" s="69"/>
      <c r="V42" s="65"/>
    </row>
    <row r="43" spans="2:22" s="66" customFormat="1">
      <c r="B43" s="65" t="s">
        <v>1843</v>
      </c>
      <c r="C43" s="65" t="str">
        <f>"TR" &amp; TEXT('Rubros Sub RubRos'!D43,"##000")</f>
        <v>TR025</v>
      </c>
      <c r="D43" s="295">
        <f t="shared" si="0"/>
        <v>5.3</v>
      </c>
      <c r="E43" s="325" t="str">
        <f t="shared" si="1"/>
        <v>Grueso Interior bajo revestimiento</v>
      </c>
      <c r="F43" s="123" t="str">
        <f t="shared" si="2"/>
        <v>m2</v>
      </c>
      <c r="G43" s="290">
        <f t="shared" si="3"/>
        <v>158.34</v>
      </c>
      <c r="H43" s="293">
        <f>VLOOKUP($C43,DATAP,9,FALSE)</f>
        <v>262.02210281266002</v>
      </c>
      <c r="I43" s="184">
        <f>+H43*G43</f>
        <v>41488.579759356588</v>
      </c>
      <c r="J43" s="184"/>
      <c r="K43" s="373">
        <f t="shared" si="11"/>
        <v>3.717320245243844E-3</v>
      </c>
      <c r="L43" s="374"/>
      <c r="M43"/>
      <c r="N43" s="316">
        <f>+I43/'GG (2)'!$G$30</f>
        <v>24545.098360857002</v>
      </c>
      <c r="O43" s="319">
        <f>+H43/'GG (2)'!$G$30</f>
        <v>155.01514690449034</v>
      </c>
      <c r="P43" s="69"/>
      <c r="Q43" s="65"/>
      <c r="R43" s="65"/>
      <c r="S43" s="65"/>
      <c r="T43" s="65"/>
      <c r="U43" s="69"/>
      <c r="V43" s="65"/>
    </row>
    <row r="44" spans="2:22" s="66" customFormat="1">
      <c r="B44" s="65" t="s">
        <v>1844</v>
      </c>
      <c r="C44" s="65" t="str">
        <f>"TR" &amp; TEXT('Rubros Sub RubRos'!D44,"##000")</f>
        <v>TR026</v>
      </c>
      <c r="D44" s="295">
        <f t="shared" si="0"/>
        <v>5.4</v>
      </c>
      <c r="E44" s="325" t="str">
        <f t="shared" si="1"/>
        <v>Salpicado cementicio terminacion planchada con llana</v>
      </c>
      <c r="F44" s="123" t="str">
        <f t="shared" si="2"/>
        <v>m2</v>
      </c>
      <c r="G44" s="290">
        <f t="shared" si="3"/>
        <v>297</v>
      </c>
      <c r="H44" s="293">
        <f>VLOOKUP($C44,DATAP,9,FALSE)</f>
        <v>281.14206210836858</v>
      </c>
      <c r="I44" s="184">
        <f>+H44*G44</f>
        <v>83499.192446185465</v>
      </c>
      <c r="J44" s="184"/>
      <c r="K44" s="373">
        <f t="shared" si="11"/>
        <v>7.4814139298590128E-3</v>
      </c>
      <c r="L44" s="374"/>
      <c r="M44"/>
      <c r="N44" s="316">
        <f>+I44/'GG (2)'!$G$30</f>
        <v>49399.03712133081</v>
      </c>
      <c r="O44" s="319">
        <f>+H44/'GG (2)'!$G$30</f>
        <v>166.32672431424515</v>
      </c>
      <c r="P44" s="69"/>
      <c r="Q44" s="65"/>
      <c r="R44" s="65"/>
      <c r="S44" s="65"/>
      <c r="T44" s="65"/>
      <c r="U44" s="69"/>
      <c r="V44" s="65"/>
    </row>
    <row r="45" spans="2:22" s="66" customFormat="1">
      <c r="B45" s="65" t="s">
        <v>1845</v>
      </c>
      <c r="C45" s="65"/>
      <c r="D45" s="370" t="str">
        <f t="shared" si="0"/>
        <v>RUBRO VI:</v>
      </c>
      <c r="E45" s="371" t="str">
        <f t="shared" si="1"/>
        <v>CIELORRASOS</v>
      </c>
      <c r="F45" s="367"/>
      <c r="G45" s="368"/>
      <c r="H45" s="369"/>
      <c r="I45" s="372"/>
      <c r="J45" s="372"/>
      <c r="K45" s="372"/>
      <c r="L45" s="372"/>
      <c r="M45"/>
      <c r="N45" s="316"/>
      <c r="O45" s="65"/>
      <c r="P45" s="69"/>
      <c r="Q45" s="65"/>
      <c r="R45" s="65"/>
      <c r="S45" s="65"/>
      <c r="T45" s="65"/>
      <c r="U45" s="69"/>
      <c r="V45" s="65"/>
    </row>
    <row r="46" spans="2:22" s="66" customFormat="1">
      <c r="B46" s="65" t="s">
        <v>1846</v>
      </c>
      <c r="C46" s="65"/>
      <c r="D46" s="370" t="str">
        <f t="shared" si="0"/>
        <v>RUBRO VII:</v>
      </c>
      <c r="E46" s="371" t="str">
        <f t="shared" si="1"/>
        <v>CONTRAPISOS, CARPETAS, PISOS, UMBRALES y ZÓCALOS,</v>
      </c>
      <c r="F46" s="367"/>
      <c r="G46" s="368"/>
      <c r="H46" s="369"/>
      <c r="I46" s="375"/>
      <c r="J46" s="375">
        <f>SUM(I47:I53)</f>
        <v>1555523.6162933465</v>
      </c>
      <c r="K46" s="372"/>
      <c r="L46" s="376">
        <f>+J46/$I$101</f>
        <v>0.13937279763109076</v>
      </c>
      <c r="M46"/>
      <c r="N46" s="316"/>
      <c r="O46" s="65"/>
      <c r="P46" s="69"/>
      <c r="Q46" s="65"/>
      <c r="R46" s="65"/>
      <c r="S46" s="65"/>
      <c r="T46" s="65"/>
      <c r="U46" s="69"/>
      <c r="V46" s="65"/>
    </row>
    <row r="47" spans="2:22" s="66" customFormat="1">
      <c r="B47" s="65" t="s">
        <v>1847</v>
      </c>
      <c r="C47" s="65" t="str">
        <f>"TR" &amp; TEXT('Rubros Sub RubRos'!D47,"##000")</f>
        <v>TR027</v>
      </c>
      <c r="D47" s="295">
        <f t="shared" si="0"/>
        <v>7.1</v>
      </c>
      <c r="E47" s="325" t="str">
        <f t="shared" si="1"/>
        <v>De Hº Alivianado con Membrana Asfáltica  (Completa)</v>
      </c>
      <c r="F47" s="123" t="str">
        <f t="shared" si="2"/>
        <v>m2</v>
      </c>
      <c r="G47" s="290">
        <f t="shared" si="3"/>
        <v>654</v>
      </c>
      <c r="H47" s="293">
        <f t="shared" ref="H47:H53" si="12">VLOOKUP($C47,DATAP,9,FALSE)</f>
        <v>697.58830849234596</v>
      </c>
      <c r="I47" s="184">
        <f t="shared" ref="I47:I53" si="13">+H47*G47</f>
        <v>456222.75375399424</v>
      </c>
      <c r="J47" s="184"/>
      <c r="K47" s="373">
        <f t="shared" ref="K47:K53" si="14">+I47/$I$101</f>
        <v>4.0876937429706814E-2</v>
      </c>
      <c r="L47" s="374"/>
      <c r="M47"/>
      <c r="N47" s="316">
        <f>+I47/'GG (2)'!$G$30</f>
        <v>269906.37978701666</v>
      </c>
      <c r="O47" s="319">
        <f>+H47/'GG (2)'!$G$30</f>
        <v>412.70088652449033</v>
      </c>
      <c r="P47" s="69"/>
      <c r="Q47" s="65"/>
      <c r="R47" s="65"/>
      <c r="S47" s="65"/>
      <c r="T47" s="65"/>
      <c r="U47" s="69"/>
      <c r="V47" s="65"/>
    </row>
    <row r="48" spans="2:22" s="66" customFormat="1">
      <c r="B48" s="65" t="s">
        <v>1848</v>
      </c>
      <c r="C48" s="65" t="str">
        <f>"TR" &amp; TEXT('Rubros Sub RubRos'!D48,"##000")</f>
        <v>TR028</v>
      </c>
      <c r="D48" s="295">
        <f t="shared" si="0"/>
        <v>7.2</v>
      </c>
      <c r="E48" s="325" t="str">
        <f t="shared" si="1"/>
        <v>Contrapiso Común Bajo Piso  (-e- 8cm.)</v>
      </c>
      <c r="F48" s="123" t="str">
        <f t="shared" si="2"/>
        <v>m2</v>
      </c>
      <c r="G48" s="290">
        <f t="shared" si="3"/>
        <v>557</v>
      </c>
      <c r="H48" s="293">
        <f t="shared" si="12"/>
        <v>679.06961674128831</v>
      </c>
      <c r="I48" s="184">
        <f t="shared" si="13"/>
        <v>378241.77652489761</v>
      </c>
      <c r="J48" s="184"/>
      <c r="K48" s="373">
        <f t="shared" si="14"/>
        <v>3.3889948068321268E-2</v>
      </c>
      <c r="L48" s="374"/>
      <c r="M48"/>
      <c r="N48" s="316">
        <f>+I48/'GG (2)'!$G$30</f>
        <v>223771.97924918513</v>
      </c>
      <c r="O48" s="319">
        <f>+H48/'GG (2)'!$G$30</f>
        <v>401.74502558201999</v>
      </c>
      <c r="P48" s="69"/>
      <c r="Q48" s="65"/>
      <c r="R48" s="65"/>
      <c r="S48" s="65"/>
      <c r="T48" s="65"/>
      <c r="U48" s="69"/>
      <c r="V48" s="65"/>
    </row>
    <row r="49" spans="2:22" s="66" customFormat="1">
      <c r="B49" s="65" t="s">
        <v>1849</v>
      </c>
      <c r="C49" s="65" t="str">
        <f>"TR" &amp; TEXT('Rubros Sub RubRos'!D49,"##000")</f>
        <v>TR029</v>
      </c>
      <c r="D49" s="295">
        <f t="shared" si="0"/>
        <v>7.3</v>
      </c>
      <c r="E49" s="325" t="str">
        <f t="shared" si="1"/>
        <v>Carpeta de Asiento bajo Cerámico</v>
      </c>
      <c r="F49" s="123" t="str">
        <f t="shared" si="2"/>
        <v>m2</v>
      </c>
      <c r="G49" s="290">
        <f t="shared" si="3"/>
        <v>151</v>
      </c>
      <c r="H49" s="293">
        <f t="shared" si="12"/>
        <v>215.06744026211103</v>
      </c>
      <c r="I49" s="184">
        <f t="shared" si="13"/>
        <v>32475.183479578765</v>
      </c>
      <c r="J49" s="184"/>
      <c r="K49" s="373">
        <f t="shared" si="14"/>
        <v>2.9097322134634266E-3</v>
      </c>
      <c r="L49" s="374"/>
      <c r="M49"/>
      <c r="N49" s="316">
        <f>+I49/'GG (2)'!$G$30</f>
        <v>19212.674365248044</v>
      </c>
      <c r="O49" s="319">
        <f>+H49/'GG (2)'!$G$30</f>
        <v>127.23625407449036</v>
      </c>
      <c r="P49" s="69"/>
      <c r="Q49" s="65"/>
      <c r="R49" s="65"/>
      <c r="S49" s="65"/>
      <c r="T49" s="65"/>
      <c r="U49" s="69"/>
      <c r="V49" s="65"/>
    </row>
    <row r="50" spans="2:22" s="66" customFormat="1">
      <c r="B50" s="65" t="s">
        <v>1850</v>
      </c>
      <c r="C50" s="65" t="str">
        <f>"TR" &amp; TEXT('Rubros Sub RubRos'!D50,"##000")</f>
        <v>TR030</v>
      </c>
      <c r="D50" s="295">
        <f t="shared" si="0"/>
        <v>7.4</v>
      </c>
      <c r="E50" s="325" t="str">
        <f t="shared" si="1"/>
        <v>Piso Industrialde Hormigon Llaneado c/endurecedor c/fibra de nylon</v>
      </c>
      <c r="F50" s="123" t="str">
        <f t="shared" si="2"/>
        <v>m2</v>
      </c>
      <c r="G50" s="290">
        <f t="shared" si="3"/>
        <v>557</v>
      </c>
      <c r="H50" s="293">
        <f t="shared" si="12"/>
        <v>752.86570124301898</v>
      </c>
      <c r="I50" s="184">
        <f t="shared" si="13"/>
        <v>419346.19559236156</v>
      </c>
      <c r="J50" s="184"/>
      <c r="K50" s="373">
        <f t="shared" si="14"/>
        <v>3.757284803874051E-2</v>
      </c>
      <c r="L50" s="374"/>
      <c r="M50"/>
      <c r="N50" s="316">
        <f>+I50/'GG (2)'!$G$30</f>
        <v>248089.80393560999</v>
      </c>
      <c r="O50" s="319">
        <f>+H50/'GG (2)'!$G$30</f>
        <v>445.40359773</v>
      </c>
      <c r="P50" s="69"/>
      <c r="Q50" s="65"/>
      <c r="R50" s="65"/>
      <c r="S50" s="65"/>
      <c r="T50" s="65"/>
      <c r="U50" s="69"/>
      <c r="V50" s="65"/>
    </row>
    <row r="51" spans="2:22" s="66" customFormat="1">
      <c r="B51" s="65" t="s">
        <v>1851</v>
      </c>
      <c r="C51" s="65" t="str">
        <f>"TR" &amp; TEXT('Rubros Sub RubRos'!D51,"##000")</f>
        <v>TR031</v>
      </c>
      <c r="D51" s="295">
        <f t="shared" si="0"/>
        <v>7.5</v>
      </c>
      <c r="E51" s="325" t="str">
        <f t="shared" si="1"/>
        <v>De Cerámico 20 x 20 p/ sanitarios</v>
      </c>
      <c r="F51" s="123" t="str">
        <f t="shared" si="2"/>
        <v>m2</v>
      </c>
      <c r="G51" s="290">
        <f t="shared" si="3"/>
        <v>151</v>
      </c>
      <c r="H51" s="293">
        <f t="shared" si="12"/>
        <v>501.77925935613848</v>
      </c>
      <c r="I51" s="184">
        <f t="shared" si="13"/>
        <v>75768.668162776914</v>
      </c>
      <c r="J51" s="184"/>
      <c r="K51" s="373">
        <f t="shared" si="14"/>
        <v>6.788769481874915E-3</v>
      </c>
      <c r="L51" s="374"/>
      <c r="M51"/>
      <c r="N51" s="316">
        <f>+I51/'GG (2)'!$G$30</f>
        <v>44825.57425473402</v>
      </c>
      <c r="O51" s="319">
        <f>+H51/'GG (2)'!$G$30</f>
        <v>296.85810764724516</v>
      </c>
      <c r="P51" s="69"/>
      <c r="Q51" s="65"/>
      <c r="R51" s="65"/>
      <c r="S51" s="65"/>
      <c r="T51" s="65"/>
      <c r="U51" s="69"/>
      <c r="V51" s="65"/>
    </row>
    <row r="52" spans="2:22" s="66" customFormat="1">
      <c r="B52" s="65" t="s">
        <v>1852</v>
      </c>
      <c r="C52" s="65" t="str">
        <f>"TR" &amp; TEXT('Rubros Sub RubRos'!D52,"##000")</f>
        <v>TR032</v>
      </c>
      <c r="D52" s="295">
        <f t="shared" si="0"/>
        <v>7.6</v>
      </c>
      <c r="E52" s="325" t="str">
        <f t="shared" si="1"/>
        <v>De Hormigón Alisado terminado al frataz en vereda perimetral</v>
      </c>
      <c r="F52" s="123" t="str">
        <f t="shared" si="2"/>
        <v>m2</v>
      </c>
      <c r="G52" s="290">
        <f t="shared" si="3"/>
        <v>292</v>
      </c>
      <c r="H52" s="293">
        <f t="shared" si="12"/>
        <v>595.89029714767412</v>
      </c>
      <c r="I52" s="184">
        <f t="shared" si="13"/>
        <v>173999.96676712084</v>
      </c>
      <c r="J52" s="184"/>
      <c r="K52" s="373">
        <f t="shared" si="14"/>
        <v>1.5590160060596041E-2</v>
      </c>
      <c r="L52" s="374"/>
      <c r="M52"/>
      <c r="N52" s="316">
        <f>+I52/'GG (2)'!$G$30</f>
        <v>102940.28679354012</v>
      </c>
      <c r="O52" s="319">
        <f>+H52/'GG (2)'!$G$30</f>
        <v>352.53522874500038</v>
      </c>
      <c r="P52" s="69"/>
      <c r="Q52" s="65"/>
      <c r="R52" s="65"/>
      <c r="S52" s="65"/>
      <c r="T52" s="65"/>
      <c r="U52" s="69"/>
      <c r="V52" s="65"/>
    </row>
    <row r="53" spans="2:22" s="66" customFormat="1">
      <c r="B53" s="65" t="s">
        <v>1853</v>
      </c>
      <c r="C53" s="65" t="str">
        <f>"TR" &amp; TEXT('Rubros Sub RubRos'!D53,"##000")</f>
        <v>TR033</v>
      </c>
      <c r="D53" s="295">
        <f t="shared" si="0"/>
        <v>7.7</v>
      </c>
      <c r="E53" s="325" t="str">
        <f t="shared" si="1"/>
        <v>Zócalo Porcellanatto h: 10 cm color a definir</v>
      </c>
      <c r="F53" s="123" t="str">
        <f t="shared" si="2"/>
        <v>m2</v>
      </c>
      <c r="G53" s="290">
        <f t="shared" si="3"/>
        <v>33.049999999999997</v>
      </c>
      <c r="H53" s="293">
        <f t="shared" si="12"/>
        <v>589.07933472364994</v>
      </c>
      <c r="I53" s="184">
        <f t="shared" si="13"/>
        <v>19469.072012616627</v>
      </c>
      <c r="J53" s="184"/>
      <c r="K53" s="373">
        <f t="shared" si="14"/>
        <v>1.7444023383877932E-3</v>
      </c>
      <c r="L53" s="374"/>
      <c r="M53"/>
      <c r="N53" s="316">
        <f>+I53/'GG (2)'!$G$30</f>
        <v>11518.11631817821</v>
      </c>
      <c r="O53" s="319">
        <f>+H53/'GG (2)'!$G$30</f>
        <v>348.50578874971899</v>
      </c>
      <c r="P53" s="69"/>
      <c r="Q53" s="65"/>
      <c r="R53" s="65"/>
      <c r="S53" s="65"/>
      <c r="T53" s="65"/>
      <c r="U53" s="69"/>
      <c r="V53" s="65"/>
    </row>
    <row r="54" spans="2:22" s="66" customFormat="1">
      <c r="B54" s="65" t="s">
        <v>1854</v>
      </c>
      <c r="C54" s="65"/>
      <c r="D54" s="370" t="str">
        <f t="shared" si="0"/>
        <v>RUBRO VIII:</v>
      </c>
      <c r="E54" s="371" t="str">
        <f t="shared" si="1"/>
        <v>REVESTIMIENTOS</v>
      </c>
      <c r="F54" s="367"/>
      <c r="G54" s="368"/>
      <c r="H54" s="369"/>
      <c r="I54" s="375"/>
      <c r="J54" s="375">
        <f>SUM(I55)</f>
        <v>71675.912189566938</v>
      </c>
      <c r="K54" s="372"/>
      <c r="L54" s="376">
        <f>+J54/$I$101</f>
        <v>6.4220641203922768E-3</v>
      </c>
      <c r="M54"/>
      <c r="N54" s="316"/>
      <c r="O54" s="65"/>
      <c r="P54" s="69"/>
      <c r="Q54" s="65"/>
      <c r="R54" s="65"/>
      <c r="S54" s="65"/>
      <c r="T54" s="65"/>
      <c r="U54" s="69"/>
      <c r="V54" s="65"/>
    </row>
    <row r="55" spans="2:22" s="66" customFormat="1">
      <c r="B55" s="65" t="s">
        <v>1855</v>
      </c>
      <c r="C55" s="65" t="str">
        <f>"TR" &amp; TEXT('Rubros Sub RubRos'!D55,"##000")</f>
        <v>TR034</v>
      </c>
      <c r="D55" s="295">
        <f t="shared" si="0"/>
        <v>8.1</v>
      </c>
      <c r="E55" s="325" t="str">
        <f t="shared" si="1"/>
        <v>Ceramico</v>
      </c>
      <c r="F55" s="123" t="str">
        <f t="shared" si="2"/>
        <v>m2</v>
      </c>
      <c r="G55" s="290">
        <f t="shared" si="3"/>
        <v>151</v>
      </c>
      <c r="H55" s="293">
        <f>VLOOKUP($C55,DATAP,9,FALSE)</f>
        <v>474.67491516269496</v>
      </c>
      <c r="I55" s="184">
        <f>+H55*G55</f>
        <v>71675.912189566938</v>
      </c>
      <c r="J55" s="184"/>
      <c r="K55" s="373">
        <f>+I55/$I$101</f>
        <v>6.4220641203922768E-3</v>
      </c>
      <c r="L55" s="374"/>
      <c r="M55"/>
      <c r="N55" s="316">
        <f>+I55/'GG (2)'!$G$30</f>
        <v>42404.254978149998</v>
      </c>
      <c r="O55" s="319">
        <f>+H55/'GG (2)'!$G$30</f>
        <v>280.82288065</v>
      </c>
      <c r="P55" s="69"/>
      <c r="Q55" s="65"/>
      <c r="R55" s="65"/>
      <c r="S55" s="65"/>
      <c r="T55" s="65"/>
      <c r="U55" s="69"/>
      <c r="V55" s="65"/>
    </row>
    <row r="56" spans="2:22" s="66" customFormat="1">
      <c r="B56" s="65" t="s">
        <v>1856</v>
      </c>
      <c r="C56" s="65" t="str">
        <f>"TR" &amp; TEXT('Rubros Sub RubRos'!D56,"##000")</f>
        <v>TR000</v>
      </c>
      <c r="D56" s="370" t="str">
        <f t="shared" si="0"/>
        <v>RUBRO IX:</v>
      </c>
      <c r="E56" s="371" t="str">
        <f t="shared" si="1"/>
        <v>MESADAS, MARMOLERÍA</v>
      </c>
      <c r="F56" s="367"/>
      <c r="G56" s="368"/>
      <c r="H56" s="369"/>
      <c r="I56" s="375"/>
      <c r="J56" s="375">
        <f>SUM(I57)</f>
        <v>16436.026748113043</v>
      </c>
      <c r="K56" s="372"/>
      <c r="L56" s="376">
        <f>+J56/$I$101</f>
        <v>1.4726456132389304E-3</v>
      </c>
      <c r="M56"/>
      <c r="N56" s="316"/>
      <c r="O56" s="65"/>
      <c r="P56" s="69"/>
      <c r="Q56" s="65"/>
      <c r="R56" s="65"/>
      <c r="S56" s="65"/>
      <c r="T56" s="65"/>
      <c r="U56" s="69"/>
      <c r="V56" s="65"/>
    </row>
    <row r="57" spans="2:22" s="66" customFormat="1">
      <c r="B57" s="65" t="s">
        <v>1857</v>
      </c>
      <c r="C57" s="65" t="str">
        <f>"TR" &amp; TEXT('Rubros Sub RubRos'!D57,"##000")</f>
        <v>TR035</v>
      </c>
      <c r="D57" s="295">
        <f t="shared" si="0"/>
        <v>9.1</v>
      </c>
      <c r="E57" s="325" t="str">
        <f t="shared" si="1"/>
        <v>Mesadas Baños (2,20 x 0,60)</v>
      </c>
      <c r="F57" s="123" t="str">
        <f t="shared" si="2"/>
        <v>m2</v>
      </c>
      <c r="G57" s="290">
        <f t="shared" si="3"/>
        <v>2.64</v>
      </c>
      <c r="H57" s="293">
        <f>VLOOKUP($C57,DATAP,9,FALSE)</f>
        <v>6225.7677076185764</v>
      </c>
      <c r="I57" s="184">
        <f>+H57*G57</f>
        <v>16436.026748113043</v>
      </c>
      <c r="J57" s="184"/>
      <c r="K57" s="373">
        <f>+I57/$I$101</f>
        <v>1.4726456132389304E-3</v>
      </c>
      <c r="L57" s="374"/>
      <c r="M57"/>
      <c r="N57" s="316">
        <f>+I57/'GG (2)'!$G$30</f>
        <v>9723.7335077282405</v>
      </c>
      <c r="O57" s="319">
        <f>+H57/'GG (2)'!$G$30</f>
        <v>3683.2323892909999</v>
      </c>
      <c r="P57" s="69"/>
      <c r="Q57" s="65"/>
      <c r="R57" s="65"/>
      <c r="S57" s="65"/>
      <c r="T57" s="65"/>
      <c r="U57" s="69"/>
      <c r="V57" s="65"/>
    </row>
    <row r="58" spans="2:22" s="66" customFormat="1">
      <c r="B58" s="65" t="s">
        <v>1889</v>
      </c>
      <c r="C58" s="65"/>
      <c r="D58" s="370" t="str">
        <f t="shared" si="0"/>
        <v>RUBRO X:</v>
      </c>
      <c r="E58" s="371" t="str">
        <f t="shared" si="1"/>
        <v>CARPINTERÍA de MADERA</v>
      </c>
      <c r="F58" s="367"/>
      <c r="G58" s="368"/>
      <c r="H58" s="369"/>
      <c r="I58" s="375"/>
      <c r="J58" s="375">
        <f>SUM(I59:I61)</f>
        <v>27469.232558362761</v>
      </c>
      <c r="K58" s="372"/>
      <c r="L58" s="376">
        <f>+J58/$I$101</f>
        <v>2.4612058282733758E-3</v>
      </c>
      <c r="M58"/>
      <c r="N58" s="316"/>
      <c r="O58" s="65"/>
      <c r="P58" s="69"/>
      <c r="Q58" s="65"/>
      <c r="R58" s="65"/>
      <c r="S58" s="65"/>
      <c r="T58" s="65"/>
      <c r="U58" s="69"/>
      <c r="V58" s="65"/>
    </row>
    <row r="59" spans="2:22" s="66" customFormat="1">
      <c r="B59" s="65" t="s">
        <v>1858</v>
      </c>
      <c r="C59" s="65" t="str">
        <f>"TR" &amp; TEXT('Rubros Sub RubRos'!D59,"##000")</f>
        <v>TR036</v>
      </c>
      <c r="D59" s="295">
        <f t="shared" si="0"/>
        <v>10.1</v>
      </c>
      <c r="E59" s="325" t="str">
        <f t="shared" si="1"/>
        <v>P3 : 1,00 x 2,05 Hoja (Baño Discapacitados)</v>
      </c>
      <c r="F59" s="123" t="str">
        <f t="shared" si="2"/>
        <v>ud</v>
      </c>
      <c r="G59" s="290">
        <f t="shared" si="3"/>
        <v>1</v>
      </c>
      <c r="H59" s="293">
        <f>VLOOKUP($C59,DATAP,9,FALSE)</f>
        <v>3052.1369509291958</v>
      </c>
      <c r="I59" s="184">
        <f>+H59*G59</f>
        <v>3052.1369509291958</v>
      </c>
      <c r="J59" s="184"/>
      <c r="K59" s="373">
        <f t="shared" ref="K59:K61" si="15">+I59/$I$101</f>
        <v>2.7346731425259731E-4</v>
      </c>
      <c r="L59" s="374"/>
      <c r="M59"/>
      <c r="N59" s="316">
        <f>+I59/'GG (2)'!$G$30</f>
        <v>1805.67766132</v>
      </c>
      <c r="O59" s="319">
        <f>+H59/'GG (2)'!$G$30</f>
        <v>1805.67766132</v>
      </c>
      <c r="P59" s="69"/>
      <c r="Q59" s="65"/>
      <c r="R59" s="65"/>
      <c r="S59" s="65"/>
      <c r="T59" s="65"/>
      <c r="U59" s="69"/>
      <c r="V59" s="65"/>
    </row>
    <row r="60" spans="2:22" s="66" customFormat="1">
      <c r="B60" s="65" t="s">
        <v>1859</v>
      </c>
      <c r="C60" s="65" t="str">
        <f>"TR" &amp; TEXT('Rubros Sub RubRos'!D60,"##000")</f>
        <v>TR037</v>
      </c>
      <c r="D60" s="295">
        <f t="shared" si="0"/>
        <v>10.199999999999999</v>
      </c>
      <c r="E60" s="325" t="str">
        <f t="shared" si="1"/>
        <v>P2 : 0,95 x 2,05 Hoja (Acceso baños)</v>
      </c>
      <c r="F60" s="123" t="str">
        <f t="shared" si="2"/>
        <v>ud</v>
      </c>
      <c r="G60" s="290">
        <f t="shared" si="3"/>
        <v>2</v>
      </c>
      <c r="H60" s="293">
        <f>VLOOKUP($C60,DATAP,9,FALSE)</f>
        <v>3052.1369509291958</v>
      </c>
      <c r="I60" s="184">
        <f>+H60*G60</f>
        <v>6104.2739018583916</v>
      </c>
      <c r="J60" s="184"/>
      <c r="K60" s="373">
        <f t="shared" si="15"/>
        <v>5.4693462850519462E-4</v>
      </c>
      <c r="L60" s="374"/>
      <c r="M60"/>
      <c r="N60" s="316">
        <f>+I60/'GG (2)'!$G$30</f>
        <v>3611.3553226399999</v>
      </c>
      <c r="O60" s="319">
        <f>+H60/'GG (2)'!$G$30</f>
        <v>1805.67766132</v>
      </c>
      <c r="P60" s="69"/>
      <c r="Q60" s="65"/>
      <c r="R60" s="65"/>
      <c r="S60" s="65"/>
      <c r="T60" s="65"/>
      <c r="U60" s="69"/>
      <c r="V60" s="65"/>
    </row>
    <row r="61" spans="2:22" s="66" customFormat="1">
      <c r="B61" s="65" t="s">
        <v>1890</v>
      </c>
      <c r="C61" s="65" t="str">
        <f>"TR" &amp; TEXT('Rubros Sub RubRos'!D61,"##000")</f>
        <v>TR038</v>
      </c>
      <c r="D61" s="295">
        <f t="shared" si="0"/>
        <v>10.3</v>
      </c>
      <c r="E61" s="325" t="str">
        <f t="shared" si="1"/>
        <v>P4:  0,70 x 1,80 Hoja (Baños Retretes)</v>
      </c>
      <c r="F61" s="123" t="str">
        <f t="shared" si="2"/>
        <v>ud</v>
      </c>
      <c r="G61" s="290">
        <f t="shared" si="3"/>
        <v>6</v>
      </c>
      <c r="H61" s="293">
        <f>VLOOKUP($C61,DATAP,9,FALSE)</f>
        <v>3052.1369509291958</v>
      </c>
      <c r="I61" s="184">
        <f>+H61*G61</f>
        <v>18312.821705575174</v>
      </c>
      <c r="J61" s="184"/>
      <c r="K61" s="373">
        <f t="shared" si="15"/>
        <v>1.6408038855155837E-3</v>
      </c>
      <c r="L61" s="374"/>
      <c r="M61"/>
      <c r="N61" s="316">
        <f>+I61/'GG (2)'!$G$30</f>
        <v>10834.06596792</v>
      </c>
      <c r="O61" s="319">
        <f>+H61/'GG (2)'!$G$30</f>
        <v>1805.67766132</v>
      </c>
      <c r="P61" s="69"/>
      <c r="Q61" s="65"/>
      <c r="R61" s="65"/>
      <c r="S61" s="65"/>
      <c r="T61" s="65"/>
      <c r="U61" s="69"/>
      <c r="V61" s="65"/>
    </row>
    <row r="62" spans="2:22" s="66" customFormat="1">
      <c r="B62" s="65" t="s">
        <v>1860</v>
      </c>
      <c r="C62" s="65"/>
      <c r="D62" s="370" t="str">
        <f t="shared" si="0"/>
        <v>RUBRO XI:</v>
      </c>
      <c r="E62" s="371" t="str">
        <f t="shared" si="1"/>
        <v>CARPINTERÍA METÁLICA y HERRERÍA</v>
      </c>
      <c r="F62" s="367"/>
      <c r="G62" s="368"/>
      <c r="H62" s="369"/>
      <c r="I62" s="375"/>
      <c r="J62" s="375">
        <f>SUM(I63:I74)</f>
        <v>2105202.2149120769</v>
      </c>
      <c r="K62" s="372"/>
      <c r="L62" s="376">
        <f>+J62/$I$101</f>
        <v>0.18862325148789832</v>
      </c>
      <c r="M62"/>
      <c r="N62" s="316"/>
      <c r="O62" s="65"/>
      <c r="P62" s="69"/>
      <c r="Q62" s="65"/>
      <c r="R62" s="65"/>
      <c r="S62" s="65"/>
      <c r="T62" s="65"/>
      <c r="U62" s="69"/>
      <c r="V62" s="65"/>
    </row>
    <row r="63" spans="2:22" s="66" customFormat="1">
      <c r="B63" s="65" t="s">
        <v>1877</v>
      </c>
      <c r="C63" s="65" t="str">
        <f>"TR" &amp; TEXT('Rubros Sub RubRos'!D63,"##000")</f>
        <v>TR039</v>
      </c>
      <c r="D63" s="295">
        <f t="shared" si="0"/>
        <v>11.1</v>
      </c>
      <c r="E63" s="325" t="str">
        <f t="shared" si="1"/>
        <v>P1: 1,50 x 2,55</v>
      </c>
      <c r="F63" s="123" t="str">
        <f t="shared" si="2"/>
        <v>ud</v>
      </c>
      <c r="G63" s="290">
        <f t="shared" si="3"/>
        <v>8</v>
      </c>
      <c r="H63" s="293">
        <f t="shared" ref="H63:H74" si="16">VLOOKUP($C63,DATAP,9,FALSE)</f>
        <v>28851.761164285348</v>
      </c>
      <c r="I63" s="184">
        <f t="shared" ref="I63:I74" si="17">+H63*G63</f>
        <v>230814.08931428278</v>
      </c>
      <c r="J63" s="184"/>
      <c r="K63" s="373">
        <f t="shared" ref="K63:K74" si="18">+I63/$I$101</f>
        <v>2.0680628068547081E-2</v>
      </c>
      <c r="L63" s="374"/>
      <c r="M63"/>
      <c r="N63" s="316">
        <f>+I63/'GG (2)'!$G$30</f>
        <v>136552.14418403999</v>
      </c>
      <c r="O63" s="319">
        <f>+H63/'GG (2)'!$G$30</f>
        <v>17069.018023004999</v>
      </c>
      <c r="P63" s="69"/>
      <c r="Q63" s="65"/>
      <c r="R63" s="65"/>
      <c r="S63" s="65"/>
      <c r="T63" s="65"/>
      <c r="U63" s="69"/>
      <c r="V63" s="65"/>
    </row>
    <row r="64" spans="2:22" s="66" customFormat="1">
      <c r="B64" s="65" t="s">
        <v>1861</v>
      </c>
      <c r="C64" s="65" t="str">
        <f>"TR" &amp; TEXT('Rubros Sub RubRos'!D64,"##000")</f>
        <v>TR040</v>
      </c>
      <c r="D64" s="295">
        <f t="shared" si="0"/>
        <v>11.2</v>
      </c>
      <c r="E64" s="325" t="str">
        <f t="shared" si="1"/>
        <v>P2: 1,00 x 2,55 Marco (Acceso Baños)</v>
      </c>
      <c r="F64" s="123" t="str">
        <f t="shared" si="2"/>
        <v>ud</v>
      </c>
      <c r="G64" s="290">
        <f t="shared" si="3"/>
        <v>1</v>
      </c>
      <c r="H64" s="293">
        <f t="shared" si="16"/>
        <v>7706.5275766579889</v>
      </c>
      <c r="I64" s="184">
        <f t="shared" si="17"/>
        <v>7706.5275766579889</v>
      </c>
      <c r="J64" s="184"/>
      <c r="K64" s="373">
        <f t="shared" si="18"/>
        <v>6.9049437573914666E-4</v>
      </c>
      <c r="L64" s="374"/>
      <c r="M64"/>
      <c r="N64" s="316">
        <f>+I64/'GG (2)'!$G$30</f>
        <v>4559.2661519600006</v>
      </c>
      <c r="O64" s="319">
        <f>+H64/'GG (2)'!$G$30</f>
        <v>4559.2661519600006</v>
      </c>
      <c r="P64" s="69"/>
      <c r="Q64" s="65"/>
      <c r="R64" s="65"/>
      <c r="S64" s="65"/>
      <c r="T64" s="65"/>
      <c r="U64" s="69"/>
      <c r="V64" s="65"/>
    </row>
    <row r="65" spans="2:22" s="66" customFormat="1">
      <c r="B65" s="65" t="s">
        <v>1862</v>
      </c>
      <c r="C65" s="65" t="str">
        <f>"TR" &amp; TEXT('Rubros Sub RubRos'!D65,"##000")</f>
        <v>TR041</v>
      </c>
      <c r="D65" s="295">
        <f t="shared" si="0"/>
        <v>11.3</v>
      </c>
      <c r="E65" s="325" t="str">
        <f t="shared" si="1"/>
        <v>P3: 1,00 x 2,55 Marco (Baño Discapacitados)</v>
      </c>
      <c r="F65" s="123" t="str">
        <f t="shared" si="2"/>
        <v>ud</v>
      </c>
      <c r="G65" s="290">
        <f t="shared" si="3"/>
        <v>2</v>
      </c>
      <c r="H65" s="293">
        <f t="shared" si="16"/>
        <v>7706.5275766579889</v>
      </c>
      <c r="I65" s="184">
        <f t="shared" si="17"/>
        <v>15413.055153315978</v>
      </c>
      <c r="J65" s="184"/>
      <c r="K65" s="373">
        <f t="shared" si="18"/>
        <v>1.3809887514782933E-3</v>
      </c>
      <c r="L65" s="374"/>
      <c r="M65"/>
      <c r="N65" s="316">
        <f>+I65/'GG (2)'!$G$30</f>
        <v>9118.5323039200011</v>
      </c>
      <c r="O65" s="319">
        <f>+H65/'GG (2)'!$G$30</f>
        <v>4559.2661519600006</v>
      </c>
      <c r="P65" s="69"/>
      <c r="Q65" s="65"/>
      <c r="R65" s="65"/>
      <c r="S65" s="65"/>
      <c r="T65" s="65"/>
      <c r="U65" s="69"/>
      <c r="V65" s="65"/>
    </row>
    <row r="66" spans="2:22" s="66" customFormat="1">
      <c r="B66" s="65" t="s">
        <v>1863</v>
      </c>
      <c r="C66" s="65" t="str">
        <f>"TR" &amp; TEXT('Rubros Sub RubRos'!D66,"##000")</f>
        <v>TR042</v>
      </c>
      <c r="D66" s="295">
        <f t="shared" si="0"/>
        <v>11.4</v>
      </c>
      <c r="E66" s="325" t="str">
        <f t="shared" si="1"/>
        <v>P4: 0,90 x 1,80 Marco (Baño Retretes)</v>
      </c>
      <c r="F66" s="123" t="str">
        <f t="shared" si="2"/>
        <v>ud</v>
      </c>
      <c r="G66" s="290">
        <f t="shared" si="3"/>
        <v>6</v>
      </c>
      <c r="H66" s="293">
        <f t="shared" si="16"/>
        <v>7706.5275766579889</v>
      </c>
      <c r="I66" s="184">
        <f t="shared" si="17"/>
        <v>46239.165459947937</v>
      </c>
      <c r="J66" s="184"/>
      <c r="K66" s="373">
        <f t="shared" si="18"/>
        <v>4.1429662544348799E-3</v>
      </c>
      <c r="L66" s="374"/>
      <c r="M66"/>
      <c r="N66" s="316">
        <f>+I66/'GG (2)'!$G$30</f>
        <v>27355.596911760007</v>
      </c>
      <c r="O66" s="319">
        <f>+H66/'GG (2)'!$G$30</f>
        <v>4559.2661519600006</v>
      </c>
      <c r="P66" s="69"/>
      <c r="Q66" s="65"/>
      <c r="R66" s="65"/>
      <c r="S66" s="65"/>
      <c r="T66" s="65"/>
      <c r="U66" s="69"/>
      <c r="V66" s="65"/>
    </row>
    <row r="67" spans="2:22" s="66" customFormat="1">
      <c r="B67" s="65" t="s">
        <v>1864</v>
      </c>
      <c r="C67" s="65" t="str">
        <f>"TR" &amp; TEXT('Rubros Sub RubRos'!D67,"##000")</f>
        <v>TR043</v>
      </c>
      <c r="D67" s="295">
        <f t="shared" si="0"/>
        <v>11.5</v>
      </c>
      <c r="E67" s="325" t="str">
        <f t="shared" si="1"/>
        <v>PV1: 6,73 x 2,55</v>
      </c>
      <c r="F67" s="123" t="str">
        <f t="shared" si="2"/>
        <v>ud</v>
      </c>
      <c r="G67" s="290">
        <f t="shared" si="3"/>
        <v>1</v>
      </c>
      <c r="H67" s="293">
        <f t="shared" si="16"/>
        <v>126836.10602788534</v>
      </c>
      <c r="I67" s="184">
        <f t="shared" si="17"/>
        <v>126836.10602788534</v>
      </c>
      <c r="J67" s="184"/>
      <c r="K67" s="373">
        <f t="shared" si="18"/>
        <v>1.136434236843264E-2</v>
      </c>
      <c r="L67" s="374"/>
      <c r="M67"/>
      <c r="N67" s="316">
        <f>+I67/'GG (2)'!$G$30</f>
        <v>75037.630023004996</v>
      </c>
      <c r="O67" s="319">
        <f>+H67/'GG (2)'!$G$30</f>
        <v>75037.630023004996</v>
      </c>
      <c r="P67" s="69"/>
      <c r="Q67" s="65"/>
      <c r="R67" s="65"/>
      <c r="S67" s="65"/>
      <c r="T67" s="65"/>
      <c r="U67" s="69"/>
      <c r="V67" s="65"/>
    </row>
    <row r="68" spans="2:22" s="66" customFormat="1">
      <c r="B68" s="65" t="s">
        <v>1865</v>
      </c>
      <c r="C68" s="65" t="str">
        <f>"TR" &amp; TEXT('Rubros Sub RubRos'!D68,"##000")</f>
        <v>TR044</v>
      </c>
      <c r="D68" s="295">
        <f t="shared" si="0"/>
        <v>11.6</v>
      </c>
      <c r="E68" s="325" t="str">
        <f t="shared" si="1"/>
        <v>PV2: 6,67 x 2,55</v>
      </c>
      <c r="F68" s="123" t="str">
        <f t="shared" si="2"/>
        <v>ud</v>
      </c>
      <c r="G68" s="290">
        <f t="shared" si="3"/>
        <v>4</v>
      </c>
      <c r="H68" s="293">
        <f t="shared" si="16"/>
        <v>97121.539380925344</v>
      </c>
      <c r="I68" s="184">
        <f t="shared" si="17"/>
        <v>388486.15752370137</v>
      </c>
      <c r="J68" s="184"/>
      <c r="K68" s="373">
        <f t="shared" si="18"/>
        <v>3.4807830654510694E-2</v>
      </c>
      <c r="L68" s="374"/>
      <c r="M68"/>
      <c r="N68" s="316">
        <f>+I68/'GG (2)'!$G$30</f>
        <v>229832.66729201999</v>
      </c>
      <c r="O68" s="319">
        <f>+H68/'GG (2)'!$G$30</f>
        <v>57458.166823004998</v>
      </c>
      <c r="P68" s="69"/>
      <c r="Q68" s="65"/>
      <c r="R68" s="65"/>
      <c r="S68" s="65"/>
      <c r="T68" s="65"/>
      <c r="U68" s="69"/>
      <c r="V68" s="65"/>
    </row>
    <row r="69" spans="2:22" s="66" customFormat="1">
      <c r="B69" s="65" t="s">
        <v>1866</v>
      </c>
      <c r="C69" s="65" t="str">
        <f>"TR" &amp; TEXT('Rubros Sub RubRos'!D69,"##000")</f>
        <v>TR045</v>
      </c>
      <c r="D69" s="295">
        <f t="shared" si="0"/>
        <v>11.7</v>
      </c>
      <c r="E69" s="325" t="str">
        <f t="shared" si="1"/>
        <v>PV3: 7,86 x 2,25</v>
      </c>
      <c r="F69" s="123" t="str">
        <f t="shared" si="2"/>
        <v>ud</v>
      </c>
      <c r="G69" s="290">
        <f t="shared" si="3"/>
        <v>4</v>
      </c>
      <c r="H69" s="293">
        <f t="shared" si="16"/>
        <v>93131.747147485352</v>
      </c>
      <c r="I69" s="184">
        <f t="shared" si="17"/>
        <v>372526.98858994141</v>
      </c>
      <c r="J69" s="184"/>
      <c r="K69" s="373">
        <f t="shared" si="18"/>
        <v>3.3377910852029305E-2</v>
      </c>
      <c r="L69" s="374"/>
      <c r="M69"/>
      <c r="N69" s="316">
        <f>+I69/'GG (2)'!$G$30</f>
        <v>220391.04809202001</v>
      </c>
      <c r="O69" s="319">
        <f>+H69/'GG (2)'!$G$30</f>
        <v>55097.762023005002</v>
      </c>
      <c r="P69" s="69"/>
      <c r="Q69" s="65"/>
      <c r="R69" s="65"/>
      <c r="S69" s="65"/>
      <c r="T69" s="65"/>
      <c r="U69" s="69"/>
      <c r="V69" s="65"/>
    </row>
    <row r="70" spans="2:22" s="66" customFormat="1">
      <c r="B70" s="65" t="s">
        <v>1867</v>
      </c>
      <c r="C70" s="65" t="str">
        <f>"TR" &amp; TEXT('Rubros Sub RubRos'!D70,"##000")</f>
        <v>TR046</v>
      </c>
      <c r="D70" s="295">
        <f t="shared" si="0"/>
        <v>11.8</v>
      </c>
      <c r="E70" s="325" t="str">
        <f t="shared" si="1"/>
        <v>PV4: 3,60 x 2,55</v>
      </c>
      <c r="F70" s="123" t="str">
        <f t="shared" si="2"/>
        <v>ud</v>
      </c>
      <c r="G70" s="290">
        <f t="shared" si="3"/>
        <v>3</v>
      </c>
      <c r="H70" s="293">
        <f t="shared" si="16"/>
        <v>51756.123985885351</v>
      </c>
      <c r="I70" s="184">
        <f t="shared" si="17"/>
        <v>155268.37195765605</v>
      </c>
      <c r="J70" s="184"/>
      <c r="K70" s="373">
        <f t="shared" si="18"/>
        <v>1.3911834675277818E-2</v>
      </c>
      <c r="L70" s="374"/>
      <c r="M70"/>
      <c r="N70" s="316">
        <f>+I70/'GG (2)'!$G$30</f>
        <v>91858.470069015006</v>
      </c>
      <c r="O70" s="319">
        <f>+H70/'GG (2)'!$G$30</f>
        <v>30619.490023005001</v>
      </c>
      <c r="P70" s="69"/>
      <c r="Q70" s="65"/>
      <c r="R70" s="65"/>
      <c r="S70" s="65"/>
      <c r="T70" s="65"/>
      <c r="U70" s="69"/>
      <c r="V70" s="65"/>
    </row>
    <row r="71" spans="2:22" s="66" customFormat="1">
      <c r="B71" s="65" t="s">
        <v>1868</v>
      </c>
      <c r="C71" s="65" t="str">
        <f>"TR" &amp; TEXT('Rubros Sub RubRos'!D71,"##000")</f>
        <v>TR047</v>
      </c>
      <c r="D71" s="295">
        <f t="shared" si="0"/>
        <v>11.9</v>
      </c>
      <c r="E71" s="325" t="str">
        <f t="shared" si="1"/>
        <v>PV5: 3,50 x 2,55</v>
      </c>
      <c r="F71" s="123" t="str">
        <f t="shared" si="2"/>
        <v>ud</v>
      </c>
      <c r="G71" s="290">
        <f t="shared" si="3"/>
        <v>3</v>
      </c>
      <c r="H71" s="293">
        <f t="shared" si="16"/>
        <v>51756.123985885351</v>
      </c>
      <c r="I71" s="184">
        <f t="shared" si="17"/>
        <v>155268.37195765605</v>
      </c>
      <c r="J71" s="184"/>
      <c r="K71" s="373">
        <f t="shared" si="18"/>
        <v>1.3911834675277818E-2</v>
      </c>
      <c r="L71" s="374"/>
      <c r="M71"/>
      <c r="N71" s="316">
        <f>+I71/'GG (2)'!$G$30</f>
        <v>91858.470069015006</v>
      </c>
      <c r="O71" s="319">
        <f>+H71/'GG (2)'!$G$30</f>
        <v>30619.490023005001</v>
      </c>
      <c r="P71" s="69"/>
      <c r="Q71" s="65"/>
      <c r="R71" s="65"/>
      <c r="S71" s="65"/>
      <c r="T71" s="65"/>
      <c r="U71" s="69"/>
      <c r="V71" s="65"/>
    </row>
    <row r="72" spans="2:22" s="66" customFormat="1">
      <c r="B72" s="65" t="s">
        <v>1869</v>
      </c>
      <c r="C72" s="65" t="str">
        <f>"TR" &amp; TEXT('Rubros Sub RubRos'!D72,"##000")</f>
        <v>TR048</v>
      </c>
      <c r="D72" s="549">
        <f t="shared" si="0"/>
        <v>11.1</v>
      </c>
      <c r="E72" s="325" t="str">
        <f t="shared" si="1"/>
        <v>B1: 6,73 x 0,60</v>
      </c>
      <c r="F72" s="123" t="str">
        <f t="shared" si="2"/>
        <v>ud</v>
      </c>
      <c r="G72" s="290">
        <f t="shared" si="3"/>
        <v>14</v>
      </c>
      <c r="H72" s="293">
        <f t="shared" si="16"/>
        <v>29960.036784685351</v>
      </c>
      <c r="I72" s="184">
        <f t="shared" si="17"/>
        <v>419440.5149855949</v>
      </c>
      <c r="J72" s="184"/>
      <c r="K72" s="373">
        <f t="shared" si="18"/>
        <v>3.7581298927925416E-2</v>
      </c>
      <c r="L72" s="374"/>
      <c r="M72"/>
      <c r="N72" s="316">
        <f>+I72/'GG (2)'!$G$30</f>
        <v>248145.60432206999</v>
      </c>
      <c r="O72" s="319">
        <f>+H72/'GG (2)'!$G$30</f>
        <v>17724.686023005001</v>
      </c>
      <c r="P72" s="69"/>
      <c r="Q72" s="65"/>
      <c r="R72" s="65"/>
      <c r="S72" s="65"/>
      <c r="T72" s="65"/>
      <c r="U72" s="69"/>
      <c r="V72" s="65"/>
    </row>
    <row r="73" spans="2:22" s="66" customFormat="1">
      <c r="B73" s="65" t="s">
        <v>1870</v>
      </c>
      <c r="C73" s="65" t="str">
        <f>"TR" &amp; TEXT('Rubros Sub RubRos'!D73,"##000")</f>
        <v>TR049</v>
      </c>
      <c r="D73" s="295">
        <f t="shared" si="0"/>
        <v>11.11</v>
      </c>
      <c r="E73" s="325" t="str">
        <f t="shared" si="1"/>
        <v>B2: 7,87 x 0,45</v>
      </c>
      <c r="F73" s="123" t="str">
        <f t="shared" si="2"/>
        <v>ud</v>
      </c>
      <c r="G73" s="290">
        <f t="shared" si="3"/>
        <v>1</v>
      </c>
      <c r="H73" s="293">
        <f t="shared" si="16"/>
        <v>26191.899675325352</v>
      </c>
      <c r="I73" s="184">
        <f t="shared" si="17"/>
        <v>26191.899675325352</v>
      </c>
      <c r="J73" s="184"/>
      <c r="K73" s="373">
        <f t="shared" si="18"/>
        <v>2.3467585414881534E-3</v>
      </c>
      <c r="L73" s="374"/>
      <c r="M73"/>
      <c r="N73" s="316">
        <f>+I73/'GG (2)'!$G$30</f>
        <v>15495.414823005001</v>
      </c>
      <c r="O73" s="319">
        <f>+H73/'GG (2)'!$G$30</f>
        <v>15495.414823005001</v>
      </c>
      <c r="P73" s="69"/>
      <c r="Q73" s="65"/>
      <c r="R73" s="65"/>
      <c r="S73" s="65"/>
      <c r="T73" s="65"/>
      <c r="U73" s="69"/>
      <c r="V73" s="65"/>
    </row>
    <row r="74" spans="2:22" s="66" customFormat="1">
      <c r="B74" s="65" t="s">
        <v>1878</v>
      </c>
      <c r="C74" s="65" t="str">
        <f>"TR" &amp; TEXT('Rubros Sub RubRos'!D74,"##000")</f>
        <v>TR050</v>
      </c>
      <c r="D74" s="295">
        <f t="shared" si="0"/>
        <v>11.12</v>
      </c>
      <c r="E74" s="325" t="str">
        <f t="shared" si="1"/>
        <v>Estructura metalica para pergola</v>
      </c>
      <c r="F74" s="123" t="str">
        <f t="shared" si="2"/>
        <v>m2</v>
      </c>
      <c r="G74" s="290">
        <f t="shared" si="3"/>
        <v>87.5</v>
      </c>
      <c r="H74" s="293">
        <f t="shared" si="16"/>
        <v>1840.1253336012817</v>
      </c>
      <c r="I74" s="184">
        <f t="shared" si="17"/>
        <v>161010.96669011214</v>
      </c>
      <c r="J74" s="184"/>
      <c r="K74" s="373">
        <f t="shared" si="18"/>
        <v>1.44263633427571E-2</v>
      </c>
      <c r="L74" s="374"/>
      <c r="M74"/>
      <c r="N74" s="316">
        <f>+I74/'GG (2)'!$G$30</f>
        <v>95255.852032249983</v>
      </c>
      <c r="O74" s="319">
        <f>+H74/'GG (2)'!$G$30</f>
        <v>1088.6383089399999</v>
      </c>
      <c r="P74" s="69"/>
      <c r="Q74" s="65"/>
      <c r="R74" s="65"/>
      <c r="S74" s="65"/>
      <c r="T74" s="65"/>
      <c r="U74" s="69"/>
      <c r="V74" s="65"/>
    </row>
    <row r="75" spans="2:22" s="66" customFormat="1">
      <c r="B75" s="65" t="s">
        <v>1879</v>
      </c>
      <c r="C75" s="65"/>
      <c r="D75" s="370" t="str">
        <f t="shared" si="0"/>
        <v>RUBRO XII:</v>
      </c>
      <c r="E75" s="371" t="str">
        <f t="shared" si="1"/>
        <v>INSTALACIÓN ELÉCTRICA</v>
      </c>
      <c r="F75" s="367"/>
      <c r="G75" s="368"/>
      <c r="H75" s="369"/>
      <c r="I75" s="375"/>
      <c r="J75" s="375">
        <f>SUM(I76:I77)</f>
        <v>736184.56264116918</v>
      </c>
      <c r="K75" s="372"/>
      <c r="L75" s="376">
        <f>+J75/$I$101</f>
        <v>6.5961134240196104E-2</v>
      </c>
      <c r="M75"/>
      <c r="N75" s="316"/>
      <c r="O75" s="65"/>
      <c r="P75" s="69"/>
      <c r="Q75" s="65"/>
      <c r="R75" s="65"/>
      <c r="S75" s="65"/>
      <c r="T75" s="65"/>
      <c r="U75" s="69"/>
      <c r="V75" s="65"/>
    </row>
    <row r="76" spans="2:22" s="66" customFormat="1">
      <c r="B76" s="65" t="s">
        <v>1880</v>
      </c>
      <c r="C76" s="65" t="str">
        <f>"TR" &amp; TEXT('Rubros Sub RubRos'!D76,"##000")</f>
        <v>TR051</v>
      </c>
      <c r="D76" s="295">
        <f t="shared" si="0"/>
        <v>12.1</v>
      </c>
      <c r="E76" s="325" t="str">
        <f t="shared" si="1"/>
        <v>Colocacion de bocas , tendido de cañerias y conductores</v>
      </c>
      <c r="F76" s="123" t="str">
        <f t="shared" si="2"/>
        <v>ud</v>
      </c>
      <c r="G76" s="290">
        <f t="shared" si="3"/>
        <v>1</v>
      </c>
      <c r="H76" s="293">
        <f>VLOOKUP($C76,DATAP,9,FALSE)</f>
        <v>564955.22613394668</v>
      </c>
      <c r="I76" s="184">
        <f>+H76*G76</f>
        <v>564955.22613394668</v>
      </c>
      <c r="J76" s="184"/>
      <c r="K76" s="373">
        <f t="shared" ref="K76:K77" si="19">+I76/$I$101</f>
        <v>5.0619218877705999E-2</v>
      </c>
      <c r="L76" s="374"/>
      <c r="M76"/>
      <c r="N76" s="316">
        <f>+I76/'GG (2)'!$G$30</f>
        <v>334233.70178900001</v>
      </c>
      <c r="O76" s="319">
        <f>+H76/'GG (2)'!$G$30</f>
        <v>334233.70178900001</v>
      </c>
      <c r="P76" s="69"/>
      <c r="Q76" s="65"/>
      <c r="R76" s="65"/>
      <c r="S76" s="65"/>
      <c r="T76" s="65"/>
      <c r="U76" s="69"/>
      <c r="V76" s="65"/>
    </row>
    <row r="77" spans="2:22" s="66" customFormat="1">
      <c r="B77" s="65" t="s">
        <v>1891</v>
      </c>
      <c r="C77" s="65" t="str">
        <f>"TR" &amp; TEXT('Rubros Sub RubRos'!D77,"##000")</f>
        <v>TR052</v>
      </c>
      <c r="D77" s="295">
        <f t="shared" si="0"/>
        <v>12.2</v>
      </c>
      <c r="E77" s="325" t="str">
        <f t="shared" si="1"/>
        <v>Medidor trifasico, pilastra y tablero de entrada</v>
      </c>
      <c r="F77" s="123" t="str">
        <f t="shared" si="2"/>
        <v>gl</v>
      </c>
      <c r="G77" s="290">
        <f t="shared" si="3"/>
        <v>1</v>
      </c>
      <c r="H77" s="293">
        <f>VLOOKUP($C77,DATAP,9,FALSE)</f>
        <v>171229.3365072225</v>
      </c>
      <c r="I77" s="184">
        <f>+H77*G77</f>
        <v>171229.3365072225</v>
      </c>
      <c r="J77" s="184"/>
      <c r="K77" s="373">
        <f t="shared" si="19"/>
        <v>1.5341915362490108E-2</v>
      </c>
      <c r="L77" s="374"/>
      <c r="M77"/>
      <c r="N77" s="316">
        <f>+I77/'GG (2)'!$G$30</f>
        <v>101301.15157500001</v>
      </c>
      <c r="O77" s="319">
        <f>+H77/'GG (2)'!$G$30</f>
        <v>101301.15157500001</v>
      </c>
      <c r="P77" s="69"/>
      <c r="Q77" s="65"/>
      <c r="R77" s="65"/>
      <c r="S77" s="65"/>
      <c r="T77" s="65"/>
      <c r="U77" s="69"/>
      <c r="V77" s="65"/>
    </row>
    <row r="78" spans="2:22" s="66" customFormat="1">
      <c r="B78" s="65" t="s">
        <v>1892</v>
      </c>
      <c r="C78" s="65"/>
      <c r="D78" s="370" t="str">
        <f t="shared" si="0"/>
        <v>RUBRO XIII:</v>
      </c>
      <c r="E78" s="371" t="str">
        <f t="shared" si="1"/>
        <v>INSTALACIÓN SANITARIA</v>
      </c>
      <c r="F78" s="367"/>
      <c r="G78" s="368"/>
      <c r="H78" s="369"/>
      <c r="I78" s="375"/>
      <c r="J78" s="375">
        <f>SUM(I79:I83)</f>
        <v>423791.0073330825</v>
      </c>
      <c r="K78" s="372"/>
      <c r="L78" s="376">
        <f>+J78/$I$101</f>
        <v>3.7971097117545219E-2</v>
      </c>
      <c r="M78"/>
      <c r="N78" s="316"/>
      <c r="O78" s="65"/>
      <c r="P78" s="69"/>
      <c r="Q78" s="65"/>
      <c r="R78" s="65"/>
      <c r="S78" s="65"/>
      <c r="T78" s="65"/>
      <c r="U78" s="69"/>
      <c r="V78" s="65"/>
    </row>
    <row r="79" spans="2:22" s="66" customFormat="1">
      <c r="B79" s="65" t="s">
        <v>1871</v>
      </c>
      <c r="C79" s="65" t="str">
        <f>"TR" &amp; TEXT('Rubros Sub RubRos'!D79,"##000")</f>
        <v>TR053</v>
      </c>
      <c r="D79" s="295">
        <f t="shared" si="0"/>
        <v>13.1</v>
      </c>
      <c r="E79" s="325" t="str">
        <f t="shared" si="1"/>
        <v>Cañerias Agua y Desagüe</v>
      </c>
      <c r="F79" s="123" t="str">
        <f t="shared" si="2"/>
        <v>ud</v>
      </c>
      <c r="G79" s="290">
        <f t="shared" si="3"/>
        <v>1</v>
      </c>
      <c r="H79" s="293">
        <f>VLOOKUP($C79,DATAP,9,FALSE)</f>
        <v>88021.844724953742</v>
      </c>
      <c r="I79" s="184">
        <f>+H79*G79</f>
        <v>88021.844724953742</v>
      </c>
      <c r="J79" s="184"/>
      <c r="K79" s="373">
        <f t="shared" ref="K79:K83" si="20">+I79/$I$101</f>
        <v>7.8866374148656802E-3</v>
      </c>
      <c r="L79" s="374"/>
      <c r="M79"/>
      <c r="N79" s="316">
        <f>+I79/'GG (2)'!$G$30</f>
        <v>52074.687762499998</v>
      </c>
      <c r="O79" s="319">
        <f>+H79/'GG (2)'!$G$30</f>
        <v>52074.687762499998</v>
      </c>
      <c r="P79" s="69"/>
      <c r="Q79" s="65"/>
      <c r="R79" s="65"/>
      <c r="S79" s="65"/>
      <c r="T79" s="65"/>
      <c r="U79" s="69"/>
      <c r="V79" s="65"/>
    </row>
    <row r="80" spans="2:22" s="66" customFormat="1">
      <c r="B80" s="65" t="s">
        <v>2038</v>
      </c>
      <c r="C80" s="65" t="str">
        <f>"TR" &amp; TEXT('Rubros Sub RubRos'!D80,"##000")</f>
        <v>TR054</v>
      </c>
      <c r="D80" s="295">
        <f t="shared" si="0"/>
        <v>13.2</v>
      </c>
      <c r="E80" s="325" t="str">
        <f t="shared" si="1"/>
        <v>Artefactos y accesorios</v>
      </c>
      <c r="F80" s="123" t="str">
        <f t="shared" si="2"/>
        <v>gl</v>
      </c>
      <c r="G80" s="290">
        <f t="shared" si="3"/>
        <v>1</v>
      </c>
      <c r="H80" s="293">
        <f>VLOOKUP($C80,DATAP,9,FALSE)</f>
        <v>127111.57201421863</v>
      </c>
      <c r="I80" s="184">
        <f>+H80*G80</f>
        <v>127111.57201421863</v>
      </c>
      <c r="J80" s="184"/>
      <c r="K80" s="373">
        <f t="shared" si="20"/>
        <v>1.1389023745664934E-2</v>
      </c>
      <c r="L80" s="374"/>
      <c r="M80"/>
      <c r="N80" s="316">
        <f>+I80/'GG (2)'!$G$30</f>
        <v>75200.598718700014</v>
      </c>
      <c r="O80" s="319">
        <f>+H80/'GG (2)'!$G$30</f>
        <v>75200.598718700014</v>
      </c>
      <c r="P80" s="69"/>
      <c r="Q80" s="65"/>
      <c r="R80" s="65"/>
      <c r="S80" s="65"/>
      <c r="T80" s="65"/>
      <c r="U80" s="69"/>
      <c r="V80" s="65"/>
    </row>
    <row r="81" spans="2:22" s="66" customFormat="1">
      <c r="B81" s="65" t="s">
        <v>2039</v>
      </c>
      <c r="C81" s="65" t="str">
        <f>"TR" &amp; TEXT('Rubros Sub RubRos'!D81,"##000")</f>
        <v>TR055</v>
      </c>
      <c r="D81" s="295">
        <f t="shared" si="0"/>
        <v>13.3</v>
      </c>
      <c r="E81" s="325" t="str">
        <f t="shared" si="1"/>
        <v>Tanque de reserva y bombeo</v>
      </c>
      <c r="F81" s="123" t="str">
        <f t="shared" si="2"/>
        <v>gl</v>
      </c>
      <c r="G81" s="290">
        <f t="shared" si="3"/>
        <v>1</v>
      </c>
      <c r="H81" s="293">
        <f>VLOOKUP($C81,DATAP,9,FALSE)</f>
        <v>64625.848135354609</v>
      </c>
      <c r="I81" s="184">
        <f>+H81*G81</f>
        <v>64625.848135354609</v>
      </c>
      <c r="J81" s="184"/>
      <c r="K81" s="373">
        <f t="shared" si="20"/>
        <v>5.7903879822598535E-3</v>
      </c>
      <c r="L81" s="374"/>
      <c r="M81"/>
      <c r="N81" s="316">
        <f>+I81/'GG (2)'!$G$30</f>
        <v>38233.359838700002</v>
      </c>
      <c r="O81" s="319">
        <f>+H81/'GG (2)'!$G$30</f>
        <v>38233.359838700002</v>
      </c>
      <c r="P81" s="69"/>
      <c r="Q81" s="65"/>
      <c r="R81" s="65"/>
      <c r="S81" s="65"/>
      <c r="T81" s="65"/>
      <c r="U81" s="69"/>
      <c r="V81" s="65"/>
    </row>
    <row r="82" spans="2:22" s="66" customFormat="1">
      <c r="B82" s="65" t="s">
        <v>2040</v>
      </c>
      <c r="C82" s="65" t="str">
        <f>"TR" &amp; TEXT('Rubros Sub RubRos'!D82,"##000")</f>
        <v>TR056</v>
      </c>
      <c r="D82" s="295">
        <f t="shared" si="0"/>
        <v>13.4</v>
      </c>
      <c r="E82" s="325" t="str">
        <f t="shared" si="1"/>
        <v>Conexión de Agua F 19 mm</v>
      </c>
      <c r="F82" s="123" t="str">
        <f t="shared" si="2"/>
        <v>gl</v>
      </c>
      <c r="G82" s="290">
        <f t="shared" si="3"/>
        <v>1</v>
      </c>
      <c r="H82" s="293">
        <f>VLOOKUP($C82,DATAP,9,FALSE)</f>
        <v>12297.745927294749</v>
      </c>
      <c r="I82" s="184">
        <f>+H82*G82</f>
        <v>12297.745927294749</v>
      </c>
      <c r="J82" s="184"/>
      <c r="K82" s="373">
        <f t="shared" si="20"/>
        <v>1.1018612874085702E-3</v>
      </c>
      <c r="L82" s="374"/>
      <c r="M82"/>
      <c r="N82" s="316">
        <f>+I82/'GG (2)'!$G$30</f>
        <v>7275.4812324999994</v>
      </c>
      <c r="O82" s="319">
        <f>+H82/'GG (2)'!$G$30</f>
        <v>7275.4812324999994</v>
      </c>
      <c r="P82" s="69"/>
      <c r="Q82" s="65"/>
      <c r="R82" s="65"/>
      <c r="S82" s="65"/>
      <c r="T82" s="65"/>
      <c r="U82" s="69"/>
      <c r="V82" s="65"/>
    </row>
    <row r="83" spans="2:22" s="66" customFormat="1">
      <c r="B83" s="65" t="s">
        <v>2041</v>
      </c>
      <c r="C83" s="65" t="str">
        <f>"TR" &amp; TEXT('Rubros Sub RubRos'!D83,"##000")</f>
        <v>TR057</v>
      </c>
      <c r="D83" s="295">
        <f t="shared" si="0"/>
        <v>13.5</v>
      </c>
      <c r="E83" s="325" t="str">
        <f t="shared" si="1"/>
        <v>Conexión  a Pozo Absorvente</v>
      </c>
      <c r="F83" s="123" t="str">
        <f t="shared" si="2"/>
        <v>gl</v>
      </c>
      <c r="G83" s="290">
        <f t="shared" si="3"/>
        <v>1</v>
      </c>
      <c r="H83" s="293">
        <f>VLOOKUP($C83,DATAP,9,FALSE)</f>
        <v>131733.99653126075</v>
      </c>
      <c r="I83" s="184">
        <f>+H83*G83</f>
        <v>131733.99653126075</v>
      </c>
      <c r="J83" s="184"/>
      <c r="K83" s="373">
        <f t="shared" si="20"/>
        <v>1.1803186687346182E-2</v>
      </c>
      <c r="L83" s="374"/>
      <c r="M83"/>
      <c r="N83" s="316">
        <f>+I83/'GG (2)'!$G$30</f>
        <v>77935.275709199996</v>
      </c>
      <c r="O83" s="319">
        <f>+H83/'GG (2)'!$G$30</f>
        <v>77935.275709199996</v>
      </c>
      <c r="P83" s="69"/>
      <c r="Q83" s="65"/>
      <c r="R83" s="65"/>
      <c r="S83" s="65"/>
      <c r="T83" s="65"/>
      <c r="U83" s="69"/>
      <c r="V83" s="65"/>
    </row>
    <row r="84" spans="2:22" s="66" customFormat="1">
      <c r="B84" s="65" t="s">
        <v>2042</v>
      </c>
      <c r="C84" s="65"/>
      <c r="D84" s="370" t="str">
        <f t="shared" si="0"/>
        <v>RUBRO XIV:</v>
      </c>
      <c r="E84" s="371" t="str">
        <f t="shared" si="1"/>
        <v>INSTALACION de GAS</v>
      </c>
      <c r="F84" s="367"/>
      <c r="G84" s="368"/>
      <c r="H84" s="369"/>
      <c r="I84" s="372"/>
      <c r="J84" s="372"/>
      <c r="K84" s="372"/>
      <c r="L84" s="372"/>
      <c r="M84"/>
      <c r="N84" s="316"/>
      <c r="O84" s="65"/>
      <c r="P84" s="69"/>
      <c r="Q84" s="65"/>
      <c r="R84" s="65"/>
      <c r="S84" s="65"/>
      <c r="T84" s="65"/>
      <c r="U84" s="69"/>
      <c r="V84" s="65"/>
    </row>
    <row r="85" spans="2:22" s="66" customFormat="1">
      <c r="B85" s="65" t="s">
        <v>2043</v>
      </c>
      <c r="C85" s="65"/>
      <c r="D85" s="370" t="str">
        <f t="shared" si="0"/>
        <v>RUBRO XV:</v>
      </c>
      <c r="E85" s="371" t="str">
        <f t="shared" si="1"/>
        <v>SEGURIDAD</v>
      </c>
      <c r="F85" s="367"/>
      <c r="G85" s="368"/>
      <c r="H85" s="369"/>
      <c r="I85" s="375"/>
      <c r="J85" s="375">
        <f>SUM(I86:I88)</f>
        <v>43571.800149143164</v>
      </c>
      <c r="K85" s="372"/>
      <c r="L85" s="376">
        <f>+J85/$I$101</f>
        <v>3.9039739551364311E-3</v>
      </c>
      <c r="M85"/>
      <c r="N85" s="316"/>
      <c r="O85" s="65"/>
      <c r="P85" s="69"/>
      <c r="Q85" s="65"/>
      <c r="R85" s="65"/>
      <c r="S85" s="65"/>
      <c r="T85" s="65"/>
      <c r="U85" s="69"/>
      <c r="V85" s="65"/>
    </row>
    <row r="86" spans="2:22" s="66" customFormat="1">
      <c r="B86" s="65" t="s">
        <v>2044</v>
      </c>
      <c r="C86" s="65" t="str">
        <f>"TR" &amp; TEXT('Rubros Sub RubRos'!D86,"##000")</f>
        <v>TR058</v>
      </c>
      <c r="D86" s="295">
        <f t="shared" si="0"/>
        <v>15.1</v>
      </c>
      <c r="E86" s="325" t="str">
        <f t="shared" si="1"/>
        <v>CONTRA INCENDIO - Matafuegos ABC 5kg Colocado - Sello IRAM</v>
      </c>
      <c r="F86" s="123" t="str">
        <f t="shared" si="2"/>
        <v>ud</v>
      </c>
      <c r="G86" s="290">
        <f t="shared" si="3"/>
        <v>1</v>
      </c>
      <c r="H86" s="293">
        <f>VLOOKUP($C86,DATAP,9,FALSE)</f>
        <v>6278.6549485800524</v>
      </c>
      <c r="I86" s="184">
        <f>+H86*G86</f>
        <v>6278.6549485800524</v>
      </c>
      <c r="J86" s="184"/>
      <c r="K86" s="373">
        <f t="shared" ref="K86:K88" si="21">+I86/$I$101</f>
        <v>5.6255893281074391E-4</v>
      </c>
      <c r="L86" s="374"/>
      <c r="M86"/>
      <c r="N86" s="316">
        <f>+I86/'GG (2)'!$G$30</f>
        <v>3714.5210605099996</v>
      </c>
      <c r="O86" s="319">
        <f>+H86/'GG (2)'!$G$30</f>
        <v>3714.5210605099996</v>
      </c>
      <c r="P86" s="69"/>
      <c r="Q86" s="65"/>
      <c r="R86" s="65"/>
      <c r="S86" s="65"/>
      <c r="T86" s="65"/>
      <c r="U86" s="69"/>
      <c r="V86" s="65"/>
    </row>
    <row r="87" spans="2:22" s="66" customFormat="1">
      <c r="B87" s="65" t="s">
        <v>2045</v>
      </c>
      <c r="C87" s="65" t="str">
        <f>"TR" &amp; TEXT('Rubros Sub RubRos'!D87,"##000")</f>
        <v>TR059</v>
      </c>
      <c r="D87" s="295">
        <f t="shared" si="0"/>
        <v>15.2</v>
      </c>
      <c r="E87" s="325" t="str">
        <f t="shared" si="1"/>
        <v>CONTRA INCENDIO - Iluminacion de emergencia</v>
      </c>
      <c r="F87" s="123" t="str">
        <f t="shared" si="2"/>
        <v>gl</v>
      </c>
      <c r="G87" s="290">
        <f t="shared" si="3"/>
        <v>1</v>
      </c>
      <c r="H87" s="293">
        <f>VLOOKUP($C87,DATAP,9,FALSE)</f>
        <v>16504.21090295224</v>
      </c>
      <c r="I87" s="184">
        <f>+H87*G87</f>
        <v>16504.21090295224</v>
      </c>
      <c r="J87" s="184"/>
      <c r="K87" s="373">
        <f t="shared" si="21"/>
        <v>1.4787548206559769E-3</v>
      </c>
      <c r="L87" s="374"/>
      <c r="M87"/>
      <c r="N87" s="316">
        <f>+I87/'GG (2)'!$G$30</f>
        <v>9764.0720008000008</v>
      </c>
      <c r="O87" s="319">
        <f>+H87/'GG (2)'!$G$30</f>
        <v>9764.0720008000008</v>
      </c>
      <c r="P87" s="69"/>
      <c r="Q87" s="65"/>
      <c r="R87" s="65"/>
      <c r="S87" s="65"/>
      <c r="T87" s="65"/>
      <c r="U87" s="69"/>
      <c r="V87" s="65"/>
    </row>
    <row r="88" spans="2:22" s="66" customFormat="1">
      <c r="B88" s="65" t="s">
        <v>2046</v>
      </c>
      <c r="C88" s="65" t="str">
        <f>"TR" &amp; TEXT('Rubros Sub RubRos'!D88,"##000")</f>
        <v>TR060</v>
      </c>
      <c r="D88" s="295">
        <f t="shared" si="0"/>
        <v>15.3</v>
      </c>
      <c r="E88" s="325" t="str">
        <f t="shared" si="1"/>
        <v>CONTRA INCENDIO - Carteleria</v>
      </c>
      <c r="F88" s="123" t="str">
        <f t="shared" si="2"/>
        <v>gl</v>
      </c>
      <c r="G88" s="290">
        <f t="shared" si="3"/>
        <v>1</v>
      </c>
      <c r="H88" s="293">
        <f>VLOOKUP($C88,DATAP,9,FALSE)</f>
        <v>20788.934297610867</v>
      </c>
      <c r="I88" s="184">
        <f>+H88*G88</f>
        <v>20788.934297610867</v>
      </c>
      <c r="J88" s="184"/>
      <c r="K88" s="373">
        <f t="shared" si="21"/>
        <v>1.8626602016697099E-3</v>
      </c>
      <c r="L88" s="374"/>
      <c r="M88"/>
      <c r="N88" s="316">
        <f>+I88/'GG (2)'!$G$30</f>
        <v>12298.96130723</v>
      </c>
      <c r="O88" s="319">
        <f>+H88/'GG (2)'!$G$30</f>
        <v>12298.96130723</v>
      </c>
      <c r="P88" s="69"/>
      <c r="Q88" s="65"/>
      <c r="R88" s="65"/>
      <c r="S88" s="65"/>
      <c r="T88" s="65"/>
      <c r="U88" s="69"/>
      <c r="V88" s="65"/>
    </row>
    <row r="89" spans="2:22" s="66" customFormat="1">
      <c r="B89" s="65" t="s">
        <v>2047</v>
      </c>
      <c r="C89" s="65"/>
      <c r="D89" s="370" t="str">
        <f t="shared" si="0"/>
        <v>RUBRO XVI:</v>
      </c>
      <c r="E89" s="371" t="str">
        <f t="shared" si="1"/>
        <v>TERMOMECÁNICA</v>
      </c>
      <c r="F89" s="367"/>
      <c r="G89" s="368"/>
      <c r="H89" s="369"/>
      <c r="I89" s="372"/>
      <c r="J89" s="372"/>
      <c r="K89" s="372"/>
      <c r="L89" s="372"/>
      <c r="M89"/>
      <c r="N89" s="316"/>
      <c r="O89" s="65"/>
      <c r="P89" s="69"/>
      <c r="Q89" s="65"/>
      <c r="R89" s="65"/>
      <c r="S89" s="65"/>
      <c r="T89" s="65"/>
      <c r="U89" s="69"/>
      <c r="V89" s="65"/>
    </row>
    <row r="90" spans="2:22" s="66" customFormat="1">
      <c r="B90" s="65" t="s">
        <v>2048</v>
      </c>
      <c r="C90" s="65"/>
      <c r="D90" s="370" t="str">
        <f t="shared" si="0"/>
        <v>RUBRO XVII:</v>
      </c>
      <c r="E90" s="371" t="str">
        <f t="shared" si="1"/>
        <v>VIDRIOS y ESPEJOS</v>
      </c>
      <c r="F90" s="367"/>
      <c r="G90" s="368"/>
      <c r="H90" s="369"/>
      <c r="I90" s="372"/>
      <c r="J90" s="372"/>
      <c r="K90" s="372"/>
      <c r="L90" s="372"/>
      <c r="M90"/>
      <c r="N90" s="316"/>
      <c r="O90" s="65"/>
      <c r="P90" s="69"/>
      <c r="Q90" s="65"/>
      <c r="R90" s="65"/>
      <c r="S90" s="65"/>
      <c r="T90" s="65"/>
      <c r="U90" s="69"/>
      <c r="V90" s="65"/>
    </row>
    <row r="91" spans="2:22" s="66" customFormat="1">
      <c r="B91" s="65" t="s">
        <v>2049</v>
      </c>
      <c r="C91" s="65"/>
      <c r="D91" s="370" t="str">
        <f t="shared" si="0"/>
        <v>RUBRO XVIII:</v>
      </c>
      <c r="E91" s="371" t="str">
        <f t="shared" si="1"/>
        <v>PINTURAS</v>
      </c>
      <c r="F91" s="367"/>
      <c r="G91" s="368"/>
      <c r="H91" s="369"/>
      <c r="I91" s="375"/>
      <c r="J91" s="375">
        <f>SUM(I92:I95)</f>
        <v>588711.67928365874</v>
      </c>
      <c r="K91" s="372"/>
      <c r="L91" s="376">
        <f>+J91/$I$101</f>
        <v>5.2747764727210419E-2</v>
      </c>
      <c r="M91"/>
      <c r="N91" s="316"/>
      <c r="O91" s="65"/>
      <c r="P91" s="69"/>
      <c r="Q91" s="65"/>
      <c r="R91" s="65"/>
      <c r="S91" s="65"/>
      <c r="T91" s="65"/>
      <c r="U91" s="69"/>
      <c r="V91" s="65"/>
    </row>
    <row r="92" spans="2:22" s="66" customFormat="1">
      <c r="B92" s="65" t="s">
        <v>2171</v>
      </c>
      <c r="C92" s="65" t="str">
        <f>"TR" &amp; TEXT('Rubros Sub RubRos'!D92,"##000")</f>
        <v>TR061</v>
      </c>
      <c r="D92" s="295">
        <f t="shared" si="0"/>
        <v>18.100000000000001</v>
      </c>
      <c r="E92" s="325" t="str">
        <f t="shared" si="1"/>
        <v>Pintura al látex en muros interiores</v>
      </c>
      <c r="F92" s="123" t="str">
        <f t="shared" si="2"/>
        <v>m2</v>
      </c>
      <c r="G92" s="290">
        <f t="shared" si="3"/>
        <v>842.66000000000008</v>
      </c>
      <c r="H92" s="293">
        <f>VLOOKUP($C92,DATAP,9,FALSE)</f>
        <v>334.73512683226312</v>
      </c>
      <c r="I92" s="184">
        <f>+H92*G92</f>
        <v>282067.90197647485</v>
      </c>
      <c r="J92" s="184"/>
      <c r="K92" s="373">
        <f t="shared" ref="K92:K95" si="22">+I92/$I$101</f>
        <v>2.5272899883109108E-2</v>
      </c>
      <c r="L92" s="374"/>
      <c r="M92"/>
      <c r="N92" s="316">
        <f>+I92/'GG (2)'!$G$30</f>
        <v>166874.46132430626</v>
      </c>
      <c r="O92" s="319">
        <f>+H92/'GG (2)'!$G$30</f>
        <v>198.03296860454543</v>
      </c>
      <c r="P92" s="69"/>
      <c r="Q92" s="65"/>
      <c r="R92" s="65"/>
      <c r="S92" s="65"/>
      <c r="T92" s="65"/>
      <c r="U92" s="69"/>
      <c r="V92" s="65"/>
    </row>
    <row r="93" spans="2:22" s="66" customFormat="1">
      <c r="B93" s="65" t="s">
        <v>2330</v>
      </c>
      <c r="C93" s="65" t="str">
        <f>"TR" &amp; TEXT('Rubros Sub RubRos'!D93,"##000")</f>
        <v>TR062</v>
      </c>
      <c r="D93" s="295">
        <f t="shared" si="0"/>
        <v>18.2</v>
      </c>
      <c r="E93" s="325" t="str">
        <f t="shared" si="1"/>
        <v>Curador acrilico transparente</v>
      </c>
      <c r="F93" s="123" t="str">
        <f t="shared" si="2"/>
        <v>m2</v>
      </c>
      <c r="G93" s="290">
        <f t="shared" si="3"/>
        <v>640</v>
      </c>
      <c r="H93" s="293">
        <f>VLOOKUP($C93,DATAP,9,FALSE)</f>
        <v>313.58448898389952</v>
      </c>
      <c r="I93" s="184">
        <f>+H93*G93</f>
        <v>200694.07294969569</v>
      </c>
      <c r="J93" s="184"/>
      <c r="K93" s="373">
        <f t="shared" si="22"/>
        <v>1.7981915621204155E-2</v>
      </c>
      <c r="L93" s="374"/>
      <c r="M93"/>
      <c r="N93" s="316">
        <f>+I93/'GG (2)'!$G$30</f>
        <v>118732.81248872727</v>
      </c>
      <c r="O93" s="319">
        <f>+H93/'GG (2)'!$G$30</f>
        <v>185.52001951363636</v>
      </c>
      <c r="P93" s="69"/>
      <c r="Q93" s="65"/>
      <c r="R93" s="65"/>
      <c r="S93" s="65"/>
      <c r="T93" s="65"/>
      <c r="U93" s="69"/>
      <c r="V93" s="65"/>
    </row>
    <row r="94" spans="2:22" s="66" customFormat="1">
      <c r="B94" s="65" t="s">
        <v>2331</v>
      </c>
      <c r="C94" s="65" t="str">
        <f>"TR" &amp; TEXT('Rubros Sub RubRos'!D94,"##000")</f>
        <v>TR063</v>
      </c>
      <c r="D94" s="295">
        <f t="shared" si="0"/>
        <v>18.3</v>
      </c>
      <c r="E94" s="325" t="str">
        <f t="shared" si="1"/>
        <v>Pintura al Latex para exteriores primera calidad color a definir</v>
      </c>
      <c r="F94" s="123" t="str">
        <f t="shared" si="2"/>
        <v>m2</v>
      </c>
      <c r="G94" s="290">
        <f t="shared" si="3"/>
        <v>297</v>
      </c>
      <c r="H94" s="293">
        <f>VLOOKUP($C94,DATAP,9,FALSE)</f>
        <v>334.73512683226312</v>
      </c>
      <c r="I94" s="184">
        <f>+H94*G94</f>
        <v>99416.332669182142</v>
      </c>
      <c r="J94" s="184"/>
      <c r="K94" s="373">
        <f t="shared" si="22"/>
        <v>8.9075680170927832E-3</v>
      </c>
      <c r="L94" s="374"/>
      <c r="M94"/>
      <c r="N94" s="316">
        <f>+I94/'GG (2)'!$G$30</f>
        <v>58815.79167554999</v>
      </c>
      <c r="O94" s="319">
        <f>+H94/'GG (2)'!$G$30</f>
        <v>198.03296860454543</v>
      </c>
      <c r="P94" s="69"/>
      <c r="Q94" s="65"/>
      <c r="R94" s="65"/>
      <c r="S94" s="65"/>
      <c r="T94" s="65"/>
      <c r="U94" s="69"/>
      <c r="V94" s="65"/>
    </row>
    <row r="95" spans="2:22" s="66" customFormat="1">
      <c r="B95" s="65" t="s">
        <v>2332</v>
      </c>
      <c r="C95" s="65" t="str">
        <f>"TR" &amp; TEXT('Rubros Sub RubRos'!D95,"##000")</f>
        <v>TR064</v>
      </c>
      <c r="D95" s="295">
        <f t="shared" si="0"/>
        <v>18.399999999999999</v>
      </c>
      <c r="E95" s="325" t="str">
        <f t="shared" si="1"/>
        <v>Esmalte Sintetico en Carpinterias</v>
      </c>
      <c r="F95" s="123" t="str">
        <f t="shared" si="2"/>
        <v>m2</v>
      </c>
      <c r="G95" s="290">
        <f t="shared" si="3"/>
        <v>20</v>
      </c>
      <c r="H95" s="293">
        <f>VLOOKUP($C95,DATAP,9,FALSE)</f>
        <v>326.66858441530445</v>
      </c>
      <c r="I95" s="184">
        <f>+H95*G95</f>
        <v>6533.3716883060888</v>
      </c>
      <c r="J95" s="184"/>
      <c r="K95" s="373">
        <f t="shared" si="22"/>
        <v>5.8538120580437576E-4</v>
      </c>
      <c r="L95" s="374"/>
      <c r="M95"/>
      <c r="N95" s="316">
        <f>+I95/'GG (2)'!$G$30</f>
        <v>3865.2142745702472</v>
      </c>
      <c r="O95" s="319">
        <f>+H95/'GG (2)'!$G$30</f>
        <v>193.26071372851237</v>
      </c>
      <c r="P95" s="69"/>
      <c r="Q95" s="65"/>
      <c r="R95" s="65"/>
      <c r="S95" s="65"/>
      <c r="T95" s="65"/>
      <c r="U95" s="69"/>
      <c r="V95" s="65"/>
    </row>
    <row r="96" spans="2:22" s="66" customFormat="1">
      <c r="B96" s="65" t="s">
        <v>2333</v>
      </c>
      <c r="C96" s="65"/>
      <c r="D96" s="370" t="str">
        <f t="shared" si="0"/>
        <v>RUBRO XIX:</v>
      </c>
      <c r="E96" s="371" t="str">
        <f t="shared" si="1"/>
        <v>TRABAJOS EXTERIORES</v>
      </c>
      <c r="F96" s="367"/>
      <c r="G96" s="368"/>
      <c r="H96" s="369"/>
      <c r="I96" s="372"/>
      <c r="J96" s="372"/>
      <c r="K96" s="372"/>
      <c r="L96" s="372"/>
      <c r="M96"/>
      <c r="N96" s="316"/>
      <c r="O96" s="65"/>
      <c r="P96" s="69"/>
      <c r="Q96" s="65"/>
      <c r="R96" s="65"/>
      <c r="S96" s="65"/>
      <c r="T96" s="65"/>
      <c r="U96" s="69"/>
      <c r="V96" s="65"/>
    </row>
    <row r="97" spans="2:22" s="66" customFormat="1">
      <c r="B97" s="65" t="s">
        <v>2334</v>
      </c>
      <c r="C97" s="65"/>
      <c r="D97" s="370" t="str">
        <f t="shared" si="0"/>
        <v>RUBRO XX:</v>
      </c>
      <c r="E97" s="371" t="str">
        <f t="shared" si="1"/>
        <v xml:space="preserve"> VARIOS</v>
      </c>
      <c r="F97" s="367"/>
      <c r="G97" s="368"/>
      <c r="H97" s="369"/>
      <c r="I97" s="375"/>
      <c r="J97" s="375">
        <f>SUM(I98:I99)</f>
        <v>206517.42960993035</v>
      </c>
      <c r="K97" s="372"/>
      <c r="L97" s="376">
        <f>+J97/$I$101</f>
        <v>1.8503680447426819E-2</v>
      </c>
      <c r="M97"/>
      <c r="N97" s="316"/>
      <c r="O97" s="65"/>
      <c r="P97" s="69"/>
      <c r="Q97" s="65"/>
      <c r="R97" s="65"/>
      <c r="S97" s="65"/>
      <c r="T97" s="65"/>
      <c r="U97" s="69"/>
      <c r="V97" s="65"/>
    </row>
    <row r="98" spans="2:22" s="66" customFormat="1" ht="14.25" customHeight="1">
      <c r="B98" s="65" t="s">
        <v>2335</v>
      </c>
      <c r="C98" s="65" t="str">
        <f>"TR" &amp; TEXT('Rubros Sub RubRos'!D98,"##000")</f>
        <v>TR065</v>
      </c>
      <c r="D98" s="295">
        <f t="shared" si="0"/>
        <v>20.100000000000001</v>
      </c>
      <c r="E98" s="325" t="str">
        <f t="shared" si="1"/>
        <v>Limpieza de Obra</v>
      </c>
      <c r="F98" s="123" t="str">
        <f t="shared" si="2"/>
        <v>gl</v>
      </c>
      <c r="G98" s="290">
        <f t="shared" si="3"/>
        <v>1</v>
      </c>
      <c r="H98" s="293">
        <f>VLOOKUP($C98,DATAP,9,FALSE)</f>
        <v>184516.4380928865</v>
      </c>
      <c r="I98" s="184">
        <f>+H98*G98</f>
        <v>184516.4380928865</v>
      </c>
      <c r="J98" s="184"/>
      <c r="K98" s="373">
        <f t="shared" ref="K98:K99" si="23">+I98/$I$101</f>
        <v>1.6532421569535223E-2</v>
      </c>
      <c r="L98" s="374"/>
      <c r="M98"/>
      <c r="N98" s="316">
        <f>+I98/'GG (2)'!$G$30</f>
        <v>109161.94645500001</v>
      </c>
      <c r="O98" s="319">
        <f>+H98/'GG (2)'!$G$30</f>
        <v>109161.94645500001</v>
      </c>
      <c r="P98" s="69"/>
      <c r="Q98" s="65"/>
      <c r="R98" s="65"/>
      <c r="S98" s="65"/>
      <c r="T98" s="65"/>
      <c r="U98" s="69"/>
      <c r="V98" s="65"/>
    </row>
    <row r="99" spans="2:22" s="66" customFormat="1" ht="14.25" customHeight="1">
      <c r="B99" s="65" t="s">
        <v>2336</v>
      </c>
      <c r="C99" s="65" t="str">
        <f>"TR" &amp; TEXT('Rubros Sub RubRos'!D99,"##000")</f>
        <v>TR066</v>
      </c>
      <c r="D99" s="366">
        <f t="shared" si="0"/>
        <v>20.2</v>
      </c>
      <c r="E99" s="379" t="str">
        <f t="shared" si="1"/>
        <v>Planos conforme a obra aprobados  / Manual de uso y mantenimiento</v>
      </c>
      <c r="F99" s="294" t="str">
        <f t="shared" si="2"/>
        <v>gl</v>
      </c>
      <c r="G99" s="290">
        <f t="shared" si="3"/>
        <v>1</v>
      </c>
      <c r="H99" s="291">
        <f>VLOOKUP($C99,DATAP,9,FALSE)</f>
        <v>22000.991517043843</v>
      </c>
      <c r="I99" s="184">
        <f>+H99*G99</f>
        <v>22000.991517043843</v>
      </c>
      <c r="J99" s="184"/>
      <c r="K99" s="373">
        <f t="shared" si="23"/>
        <v>1.9712588778915937E-3</v>
      </c>
      <c r="L99" s="374"/>
      <c r="M99"/>
      <c r="N99" s="316">
        <f>+I99/'GG (2)'!$G$30</f>
        <v>13016.027638314999</v>
      </c>
      <c r="O99" s="319">
        <f>+H99/'GG (2)'!$G$30</f>
        <v>13016.027638314999</v>
      </c>
      <c r="P99" s="69"/>
      <c r="Q99" s="65"/>
      <c r="R99" s="65"/>
      <c r="S99" s="65"/>
      <c r="T99" s="65"/>
      <c r="U99" s="69"/>
      <c r="V99" s="65"/>
    </row>
    <row r="100" spans="2:22" s="66" customFormat="1">
      <c r="B100" s="65"/>
      <c r="C100" s="65"/>
      <c r="D100" s="112"/>
      <c r="E100" s="65"/>
      <c r="F100" s="78"/>
      <c r="G100" s="134"/>
      <c r="H100" s="67"/>
      <c r="I100" s="67"/>
      <c r="J100" s="67"/>
      <c r="K100" s="67"/>
      <c r="M100"/>
      <c r="N100" s="65"/>
      <c r="O100" s="65"/>
      <c r="P100" s="69"/>
      <c r="Q100" s="65"/>
      <c r="R100" s="65"/>
      <c r="S100" s="65"/>
      <c r="T100" s="65"/>
      <c r="U100" s="69"/>
      <c r="V100" s="65"/>
    </row>
    <row r="101" spans="2:22" s="66" customFormat="1">
      <c r="B101" s="65"/>
      <c r="C101" s="65"/>
      <c r="D101" s="382"/>
      <c r="E101" s="383"/>
      <c r="F101" s="297"/>
      <c r="G101" s="292"/>
      <c r="H101" s="429" t="s">
        <v>1714</v>
      </c>
      <c r="I101" s="381">
        <f>SUM(I15:I19,I21:I22,I24:I32,I34:I39,I41:I44,I47:I53,I55,I57,I59:I61,I63:I74,I76:I77,I79:I83,I86:I88,I92:I95,I98:I99)</f>
        <v>11160883.922346883</v>
      </c>
      <c r="J101" s="381">
        <f>+J97+J91+J85+J78+J75+J62+J58+J56+J54+J46+J40+J33+J23+J20+J14</f>
        <v>11160883.922346883</v>
      </c>
      <c r="K101" s="403">
        <f>SUM(K15:K19,K21:K22,K24:K32,K34:K39,K41:K44,K47:K53,K55,K57,K59:K61,K63:K74,K76:K77,K79:K83,K86:K88,K92:K95,K98:K99)</f>
        <v>1.0000000000000002</v>
      </c>
      <c r="L101" s="376">
        <f>+J101/$I$101</f>
        <v>1</v>
      </c>
      <c r="M101"/>
      <c r="N101" s="320">
        <f>SUM(N14:N100)</f>
        <v>6602901.214190905</v>
      </c>
      <c r="O101" s="65"/>
      <c r="P101" s="69"/>
      <c r="Q101" s="65"/>
      <c r="R101" s="65"/>
      <c r="S101" s="65"/>
      <c r="T101" s="65"/>
      <c r="U101" s="69"/>
      <c r="V101" s="65"/>
    </row>
    <row r="102" spans="2:22">
      <c r="D102" s="380"/>
      <c r="E102" s="175"/>
      <c r="F102" s="172"/>
      <c r="G102" s="173"/>
      <c r="H102" s="178"/>
      <c r="I102" s="178"/>
      <c r="J102" s="178"/>
      <c r="K102" s="178"/>
      <c r="N102" s="319"/>
    </row>
    <row r="104" spans="2:22">
      <c r="H104" s="68"/>
      <c r="I104" s="68"/>
      <c r="J104" s="68">
        <v>9617230</v>
      </c>
      <c r="K104" s="68"/>
      <c r="M104" s="315"/>
      <c r="O104" s="321"/>
    </row>
    <row r="106" spans="2:22">
      <c r="J106" s="412">
        <f>+J104-J101</f>
        <v>-1543653.9223468825</v>
      </c>
    </row>
    <row r="109" spans="2:22">
      <c r="J109" s="284">
        <f>+J101/J104-1</f>
        <v>0.16050920299783633</v>
      </c>
    </row>
  </sheetData>
  <mergeCells count="6">
    <mergeCell ref="E4:K4"/>
    <mergeCell ref="E10:K10"/>
    <mergeCell ref="E8:K8"/>
    <mergeCell ref="E7:K7"/>
    <mergeCell ref="E6:K6"/>
    <mergeCell ref="E5:K5"/>
  </mergeCells>
  <pageMargins left="1.1811023622047245" right="0.39370078740157483" top="0.19685039370078741" bottom="0.19685039370078741" header="0" footer="0"/>
  <pageSetup paperSize="9" scale="55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AH107"/>
  <sheetViews>
    <sheetView view="pageBreakPreview" topLeftCell="A7" zoomScale="70" zoomScaleNormal="85" zoomScaleSheetLayoutView="70" workbookViewId="0">
      <selection activeCell="Q39" sqref="Q39"/>
    </sheetView>
  </sheetViews>
  <sheetFormatPr baseColWidth="10" defaultRowHeight="12"/>
  <cols>
    <col min="1" max="1" width="11.42578125" style="430"/>
    <col min="2" max="2" width="7.140625" style="430" customWidth="1"/>
    <col min="3" max="3" width="11.42578125" style="430" hidden="1" customWidth="1"/>
    <col min="4" max="4" width="11.7109375" style="431" customWidth="1"/>
    <col min="5" max="5" width="65.85546875" style="430" customWidth="1"/>
    <col min="6" max="6" width="8.140625" style="432" hidden="1" customWidth="1"/>
    <col min="7" max="7" width="8.85546875" style="433" hidden="1" customWidth="1"/>
    <col min="8" max="8" width="12.140625" style="434" hidden="1" customWidth="1"/>
    <col min="9" max="9" width="14.5703125" style="430" hidden="1" customWidth="1"/>
    <col min="10" max="10" width="8.7109375" style="435" bestFit="1" customWidth="1"/>
    <col min="11" max="11" width="2" style="445" customWidth="1"/>
    <col min="12" max="12" width="12.5703125" style="445" bestFit="1" customWidth="1"/>
    <col min="13" max="13" width="12" style="430" bestFit="1" customWidth="1"/>
    <col min="14" max="14" width="13" style="430" bestFit="1" customWidth="1"/>
    <col min="15" max="15" width="13.85546875" style="437" bestFit="1" customWidth="1"/>
    <col min="16" max="16" width="13.5703125" style="430" bestFit="1" customWidth="1"/>
    <col min="17" max="17" width="13" style="430" bestFit="1" customWidth="1"/>
    <col min="18" max="19" width="13.140625" style="430" bestFit="1" customWidth="1"/>
    <col min="20" max="20" width="13.42578125" style="437" bestFit="1" customWidth="1"/>
    <col min="21" max="21" width="13.5703125" style="437" bestFit="1" customWidth="1"/>
    <col min="22" max="22" width="14.7109375" style="437" customWidth="1"/>
    <col min="23" max="16384" width="11.42578125" style="430"/>
  </cols>
  <sheetData>
    <row r="2" spans="2:34" ht="12.75" thickBot="1">
      <c r="K2" s="436"/>
      <c r="L2" s="546"/>
    </row>
    <row r="4" spans="2:34" ht="15" customHeight="1">
      <c r="B4" s="430" t="s">
        <v>1248</v>
      </c>
      <c r="D4" s="617" t="str">
        <f>VLOOKUP($B4,DATRUB,4,FALSE)</f>
        <v>MINISTERIO DEL INTERIOR, OBRAS PÚBLICAS Y VIVIENDA PROGRAMA NACIONAL DE INFRAESTRUCTURA UNIVERSITARIA</v>
      </c>
      <c r="E4" s="618"/>
      <c r="F4" s="618"/>
      <c r="G4" s="618"/>
      <c r="H4" s="618"/>
      <c r="I4" s="618"/>
      <c r="J4" s="618"/>
      <c r="K4" s="618"/>
      <c r="L4" s="618"/>
      <c r="M4" s="618"/>
      <c r="N4" s="618"/>
      <c r="O4" s="618"/>
      <c r="P4" s="618"/>
      <c r="Q4" s="618"/>
      <c r="R4" s="618"/>
      <c r="S4" s="618"/>
      <c r="T4" s="618"/>
      <c r="U4" s="619"/>
      <c r="V4" s="438"/>
    </row>
    <row r="5" spans="2:34" ht="15" customHeight="1">
      <c r="B5" s="430" t="s">
        <v>1249</v>
      </c>
      <c r="D5" s="620" t="str">
        <f>VLOOKUP($B5,DATRUB,4,FALSE)</f>
        <v>COMITENTE: UNIVERSIDAD NACIONAL DE SAN JUAN</v>
      </c>
      <c r="E5" s="621"/>
      <c r="F5" s="621"/>
      <c r="G5" s="621"/>
      <c r="H5" s="621"/>
      <c r="I5" s="621"/>
      <c r="J5" s="621"/>
      <c r="K5" s="621"/>
      <c r="L5" s="621"/>
      <c r="M5" s="621"/>
      <c r="N5" s="621"/>
      <c r="O5" s="621"/>
      <c r="P5" s="621"/>
      <c r="Q5" s="621"/>
      <c r="R5" s="621"/>
      <c r="S5" s="621"/>
      <c r="T5" s="621"/>
      <c r="U5" s="622"/>
      <c r="V5" s="438"/>
    </row>
    <row r="6" spans="2:34" ht="15" customHeight="1">
      <c r="B6" s="430" t="s">
        <v>1247</v>
      </c>
      <c r="D6" s="620" t="str">
        <f>VLOOKUP($B6,DATRUB,4,FALSE)</f>
        <v>LICITACIÓN PÚBLICA NACIONAL N° CU-011/16</v>
      </c>
      <c r="E6" s="621"/>
      <c r="F6" s="621"/>
      <c r="G6" s="621"/>
      <c r="H6" s="621"/>
      <c r="I6" s="621"/>
      <c r="J6" s="621"/>
      <c r="K6" s="621"/>
      <c r="L6" s="621"/>
      <c r="M6" s="621"/>
      <c r="N6" s="621"/>
      <c r="O6" s="621"/>
      <c r="P6" s="621"/>
      <c r="Q6" s="621"/>
      <c r="R6" s="621"/>
      <c r="S6" s="621"/>
      <c r="T6" s="621"/>
      <c r="U6" s="622"/>
      <c r="V6" s="438"/>
    </row>
    <row r="7" spans="2:34" s="435" customFormat="1" ht="15" customHeight="1">
      <c r="B7" s="430" t="s">
        <v>1885</v>
      </c>
      <c r="C7" s="430"/>
      <c r="D7" s="620" t="str">
        <f>VLOOKUP($B7,DATRUB,4,FALSE)</f>
        <v>OBRA: EDIFICIO SEDE JÁCHAL - CONSTRUCCIÓN DE AULAS</v>
      </c>
      <c r="E7" s="621"/>
      <c r="F7" s="621"/>
      <c r="G7" s="621"/>
      <c r="H7" s="621"/>
      <c r="I7" s="621"/>
      <c r="J7" s="621"/>
      <c r="K7" s="621"/>
      <c r="L7" s="621"/>
      <c r="M7" s="621"/>
      <c r="N7" s="621"/>
      <c r="O7" s="621"/>
      <c r="P7" s="621"/>
      <c r="Q7" s="621"/>
      <c r="R7" s="621"/>
      <c r="S7" s="621"/>
      <c r="T7" s="621"/>
      <c r="U7" s="622"/>
      <c r="V7" s="438"/>
      <c r="W7" s="430"/>
    </row>
    <row r="8" spans="2:34" s="435" customFormat="1" ht="15" customHeight="1">
      <c r="B8" s="430" t="s">
        <v>1995</v>
      </c>
      <c r="C8" s="430"/>
      <c r="D8" s="623" t="str">
        <f>VLOOKUP($B8,DATRUB,4,FALSE)</f>
        <v>PLAN DE TRABAJO</v>
      </c>
      <c r="E8" s="624"/>
      <c r="F8" s="624"/>
      <c r="G8" s="624"/>
      <c r="H8" s="624"/>
      <c r="I8" s="624"/>
      <c r="J8" s="624"/>
      <c r="K8" s="624"/>
      <c r="L8" s="624"/>
      <c r="M8" s="624"/>
      <c r="N8" s="624"/>
      <c r="O8" s="624"/>
      <c r="P8" s="624"/>
      <c r="Q8" s="624"/>
      <c r="R8" s="624"/>
      <c r="S8" s="624"/>
      <c r="T8" s="624"/>
      <c r="U8" s="625"/>
      <c r="V8" s="438"/>
      <c r="W8" s="430"/>
    </row>
    <row r="9" spans="2:34" s="435" customFormat="1">
      <c r="B9" s="430"/>
      <c r="C9" s="430"/>
      <c r="D9" s="439" t="s">
        <v>2527</v>
      </c>
      <c r="E9" s="440" t="s">
        <v>1990</v>
      </c>
      <c r="F9" s="441" t="s">
        <v>1254</v>
      </c>
      <c r="G9" s="442" t="s">
        <v>1250</v>
      </c>
      <c r="H9" s="443" t="s">
        <v>2050</v>
      </c>
      <c r="I9" s="444" t="s">
        <v>2528</v>
      </c>
      <c r="J9" s="531" t="s">
        <v>2529</v>
      </c>
      <c r="K9" s="532"/>
      <c r="L9" s="547" t="s">
        <v>2530</v>
      </c>
      <c r="M9" s="440" t="s">
        <v>1996</v>
      </c>
      <c r="N9" s="440" t="s">
        <v>1997</v>
      </c>
      <c r="O9" s="440" t="s">
        <v>1998</v>
      </c>
      <c r="P9" s="440" t="s">
        <v>1999</v>
      </c>
      <c r="Q9" s="440" t="s">
        <v>2000</v>
      </c>
      <c r="R9" s="440" t="s">
        <v>2001</v>
      </c>
      <c r="S9" s="440" t="s">
        <v>2002</v>
      </c>
      <c r="T9" s="440" t="s">
        <v>2003</v>
      </c>
      <c r="U9" s="440" t="s">
        <v>2051</v>
      </c>
      <c r="V9" s="446"/>
      <c r="W9" s="430"/>
      <c r="Y9" s="447">
        <v>1</v>
      </c>
      <c r="Z9" s="447">
        <v>2</v>
      </c>
      <c r="AA9" s="447">
        <v>3</v>
      </c>
      <c r="AB9" s="447">
        <v>4</v>
      </c>
      <c r="AC9" s="447">
        <v>5</v>
      </c>
      <c r="AD9" s="447">
        <v>6</v>
      </c>
      <c r="AE9" s="447">
        <v>7</v>
      </c>
      <c r="AF9" s="447">
        <v>8</v>
      </c>
      <c r="AG9" s="447">
        <v>9</v>
      </c>
    </row>
    <row r="10" spans="2:34" s="435" customFormat="1">
      <c r="B10" s="430" t="str">
        <f>+'Cómp. y Presup.'!B14</f>
        <v>z021</v>
      </c>
      <c r="C10" s="430"/>
      <c r="D10" s="448" t="str">
        <f t="shared" ref="D10:D73" si="0">VLOOKUP($B10,DATRUB,3,FALSE)</f>
        <v>RUBRO I:</v>
      </c>
      <c r="E10" s="449" t="str">
        <f t="shared" ref="E10:E73" si="1">VLOOKUP($B10,DATRUB,4,FALSE)</f>
        <v>PRELIMINARES</v>
      </c>
      <c r="F10" s="450"/>
      <c r="G10" s="451"/>
      <c r="H10" s="452"/>
      <c r="I10" s="453"/>
      <c r="J10" s="478"/>
      <c r="K10" s="445"/>
      <c r="L10" s="555">
        <v>0.15</v>
      </c>
      <c r="M10" s="496"/>
      <c r="N10" s="496"/>
      <c r="O10" s="496"/>
      <c r="P10" s="496"/>
      <c r="Q10" s="496"/>
      <c r="R10" s="496"/>
      <c r="S10" s="496"/>
      <c r="T10" s="496"/>
      <c r="U10" s="496"/>
      <c r="V10" s="456"/>
      <c r="W10" s="457"/>
      <c r="X10" s="458"/>
      <c r="Y10" s="459"/>
      <c r="Z10" s="459"/>
      <c r="AA10" s="459"/>
      <c r="AB10" s="459"/>
      <c r="AC10" s="459"/>
      <c r="AD10" s="459"/>
      <c r="AE10" s="459"/>
      <c r="AF10" s="459"/>
      <c r="AG10" s="459"/>
      <c r="AH10" s="435">
        <f t="shared" ref="AH10:AH18" si="2">SUM(Y10:AG10)</f>
        <v>0</v>
      </c>
    </row>
    <row r="11" spans="2:34" s="435" customFormat="1">
      <c r="B11" s="430" t="str">
        <f>+'Cómp. y Presup.'!B15</f>
        <v>z022</v>
      </c>
      <c r="C11" s="430" t="str">
        <f>+'Cómp. y Presup.'!C15</f>
        <v>TR001</v>
      </c>
      <c r="D11" s="448">
        <f t="shared" si="0"/>
        <v>1.1000000000000001</v>
      </c>
      <c r="E11" s="449" t="str">
        <f t="shared" si="1"/>
        <v>Desmalezado, Limpieza, Replanteo y Demoliciones</v>
      </c>
      <c r="F11" s="450" t="str">
        <f t="shared" ref="F11:F73" si="3">VLOOKUP($B11,DATRUB,5,FALSE)</f>
        <v>m2</v>
      </c>
      <c r="G11" s="451">
        <f t="shared" ref="G11:G73" si="4">VLOOKUP($B11,DATRUB,6,FALSE)</f>
        <v>1036.8</v>
      </c>
      <c r="H11" s="452">
        <f>+'Cómp. y Presup.'!H15</f>
        <v>35.287703780447295</v>
      </c>
      <c r="I11" s="453">
        <f>+H11*G11</f>
        <v>36586.291279567755</v>
      </c>
      <c r="J11" s="454">
        <f>+I11/$I$97</f>
        <v>3.2780818736330413E-3</v>
      </c>
      <c r="K11" s="445"/>
      <c r="L11" s="445"/>
      <c r="M11" s="455">
        <f t="shared" ref="M11:U11" si="5">+$J11*Y11</f>
        <v>3.2780818736330413E-3</v>
      </c>
      <c r="N11" s="455">
        <f t="shared" si="5"/>
        <v>0</v>
      </c>
      <c r="O11" s="455">
        <f t="shared" si="5"/>
        <v>0</v>
      </c>
      <c r="P11" s="455">
        <f t="shared" si="5"/>
        <v>0</v>
      </c>
      <c r="Q11" s="455">
        <f t="shared" si="5"/>
        <v>0</v>
      </c>
      <c r="R11" s="455">
        <f t="shared" si="5"/>
        <v>0</v>
      </c>
      <c r="S11" s="455">
        <f t="shared" si="5"/>
        <v>0</v>
      </c>
      <c r="T11" s="455">
        <f t="shared" si="5"/>
        <v>0</v>
      </c>
      <c r="U11" s="455">
        <f t="shared" si="5"/>
        <v>0</v>
      </c>
      <c r="V11" s="456"/>
      <c r="W11" s="457"/>
      <c r="X11" s="458">
        <f>SUM(M11:U11)-J11</f>
        <v>0</v>
      </c>
      <c r="Y11" s="459">
        <v>1</v>
      </c>
      <c r="Z11" s="459"/>
      <c r="AA11" s="459"/>
      <c r="AB11" s="459"/>
      <c r="AC11" s="459"/>
      <c r="AD11" s="459"/>
      <c r="AE11" s="459"/>
      <c r="AF11" s="459"/>
      <c r="AG11" s="459"/>
      <c r="AH11" s="435">
        <f t="shared" si="2"/>
        <v>1</v>
      </c>
    </row>
    <row r="12" spans="2:34" s="435" customFormat="1">
      <c r="B12" s="430" t="str">
        <f>+'Cómp. y Presup.'!B16</f>
        <v>z023</v>
      </c>
      <c r="C12" s="430" t="str">
        <f>+'Cómp. y Presup.'!C16</f>
        <v>TR002</v>
      </c>
      <c r="D12" s="448">
        <f t="shared" si="0"/>
        <v>1.2</v>
      </c>
      <c r="E12" s="449" t="str">
        <f t="shared" si="1"/>
        <v>Obrador y Depósito</v>
      </c>
      <c r="F12" s="450" t="str">
        <f t="shared" si="3"/>
        <v>gl</v>
      </c>
      <c r="G12" s="451">
        <f t="shared" si="4"/>
        <v>1</v>
      </c>
      <c r="H12" s="452">
        <f>+'Cómp. y Presup.'!H16</f>
        <v>21855.262694161</v>
      </c>
      <c r="I12" s="453">
        <f t="shared" ref="I12:I75" si="6">+H12*G12</f>
        <v>21855.262694161</v>
      </c>
      <c r="J12" s="454">
        <f t="shared" ref="J12:J75" si="7">+I12/$I$97</f>
        <v>1.9582017738219906E-3</v>
      </c>
      <c r="K12" s="445"/>
      <c r="L12" s="445"/>
      <c r="M12" s="455">
        <f t="shared" ref="M12:M22" si="8">+$J12*Y12</f>
        <v>1.9582017738219906E-3</v>
      </c>
      <c r="N12" s="455">
        <f t="shared" ref="N12:N22" si="9">+$J12*Z12</f>
        <v>0</v>
      </c>
      <c r="O12" s="455">
        <f t="shared" ref="O12:O22" si="10">+$J12*AA12</f>
        <v>0</v>
      </c>
      <c r="P12" s="455">
        <f t="shared" ref="P12:P22" si="11">+$J12*AB12</f>
        <v>0</v>
      </c>
      <c r="Q12" s="455">
        <f t="shared" ref="Q12:Q22" si="12">+$J12*AC12</f>
        <v>0</v>
      </c>
      <c r="R12" s="455">
        <f t="shared" ref="R12:R22" si="13">+$J12*AD12</f>
        <v>0</v>
      </c>
      <c r="S12" s="455">
        <f t="shared" ref="S12:S22" si="14">+$J12*AE12</f>
        <v>0</v>
      </c>
      <c r="T12" s="455">
        <f t="shared" ref="T12:T22" si="15">+$J12*AF12</f>
        <v>0</v>
      </c>
      <c r="U12" s="455">
        <f t="shared" ref="U12:U22" si="16">+$J12*AG12</f>
        <v>0</v>
      </c>
      <c r="V12" s="456"/>
      <c r="W12" s="457"/>
      <c r="X12" s="458">
        <f t="shared" ref="X12:X75" si="17">SUM(M12:U12)-J12</f>
        <v>0</v>
      </c>
      <c r="Y12" s="459">
        <v>1</v>
      </c>
      <c r="Z12" s="459"/>
      <c r="AA12" s="459"/>
      <c r="AB12" s="459"/>
      <c r="AC12" s="459"/>
      <c r="AD12" s="459"/>
      <c r="AE12" s="459"/>
      <c r="AF12" s="459"/>
      <c r="AG12" s="459"/>
      <c r="AH12" s="435">
        <f t="shared" si="2"/>
        <v>1</v>
      </c>
    </row>
    <row r="13" spans="2:34" s="435" customFormat="1">
      <c r="B13" s="430" t="str">
        <f>+'Cómp. y Presup.'!B17</f>
        <v>z024</v>
      </c>
      <c r="C13" s="430" t="str">
        <f>+'Cómp. y Presup.'!C17</f>
        <v>TR003</v>
      </c>
      <c r="D13" s="448">
        <f t="shared" si="0"/>
        <v>1.3</v>
      </c>
      <c r="E13" s="449" t="str">
        <f t="shared" si="1"/>
        <v>Calculo Tramitacion y Aprobacion de Planos</v>
      </c>
      <c r="F13" s="450" t="str">
        <f t="shared" si="3"/>
        <v>gl</v>
      </c>
      <c r="G13" s="451">
        <f t="shared" si="4"/>
        <v>1</v>
      </c>
      <c r="H13" s="452">
        <f>+'Cómp. y Presup.'!H17</f>
        <v>50127.583517043844</v>
      </c>
      <c r="I13" s="453">
        <f t="shared" si="6"/>
        <v>50127.583517043844</v>
      </c>
      <c r="J13" s="454">
        <f t="shared" si="7"/>
        <v>4.4913632169111513E-3</v>
      </c>
      <c r="K13" s="445"/>
      <c r="L13" s="445"/>
      <c r="M13" s="455">
        <f t="shared" si="8"/>
        <v>4.4913632169111513E-3</v>
      </c>
      <c r="N13" s="455">
        <f t="shared" si="9"/>
        <v>0</v>
      </c>
      <c r="O13" s="455">
        <f t="shared" si="10"/>
        <v>0</v>
      </c>
      <c r="P13" s="455">
        <f t="shared" si="11"/>
        <v>0</v>
      </c>
      <c r="Q13" s="455">
        <f t="shared" si="12"/>
        <v>0</v>
      </c>
      <c r="R13" s="455">
        <f t="shared" si="13"/>
        <v>0</v>
      </c>
      <c r="S13" s="455">
        <f t="shared" si="14"/>
        <v>0</v>
      </c>
      <c r="T13" s="455">
        <f t="shared" si="15"/>
        <v>0</v>
      </c>
      <c r="U13" s="455">
        <f t="shared" si="16"/>
        <v>0</v>
      </c>
      <c r="V13" s="456"/>
      <c r="W13" s="457"/>
      <c r="X13" s="458">
        <f t="shared" si="17"/>
        <v>0</v>
      </c>
      <c r="Y13" s="459">
        <v>1</v>
      </c>
      <c r="Z13" s="459"/>
      <c r="AA13" s="459"/>
      <c r="AB13" s="459"/>
      <c r="AC13" s="459"/>
      <c r="AD13" s="459"/>
      <c r="AE13" s="459"/>
      <c r="AF13" s="459"/>
      <c r="AG13" s="459"/>
      <c r="AH13" s="435">
        <f t="shared" si="2"/>
        <v>1</v>
      </c>
    </row>
    <row r="14" spans="2:34" s="435" customFormat="1">
      <c r="B14" s="430" t="str">
        <f>+'Cómp. y Presup.'!B18</f>
        <v>z025</v>
      </c>
      <c r="C14" s="430" t="str">
        <f>+'Cómp. y Presup.'!C18</f>
        <v>TR004</v>
      </c>
      <c r="D14" s="448">
        <f t="shared" si="0"/>
        <v>1.4</v>
      </c>
      <c r="E14" s="449" t="str">
        <f t="shared" si="1"/>
        <v>Equipamiento Oficina Direccion de Obra</v>
      </c>
      <c r="F14" s="450" t="str">
        <f t="shared" si="3"/>
        <v>gl</v>
      </c>
      <c r="G14" s="451">
        <f t="shared" si="4"/>
        <v>1</v>
      </c>
      <c r="H14" s="452">
        <f>+'Cómp. y Presup.'!H18</f>
        <v>8843.743034087689</v>
      </c>
      <c r="I14" s="453">
        <f t="shared" si="6"/>
        <v>8843.743034087689</v>
      </c>
      <c r="J14" s="454">
        <f t="shared" si="7"/>
        <v>7.9238733200874014E-4</v>
      </c>
      <c r="K14" s="445"/>
      <c r="L14" s="445"/>
      <c r="M14" s="455">
        <f t="shared" si="8"/>
        <v>7.9238733200874014E-4</v>
      </c>
      <c r="N14" s="455">
        <f t="shared" si="9"/>
        <v>0</v>
      </c>
      <c r="O14" s="455">
        <f t="shared" si="10"/>
        <v>0</v>
      </c>
      <c r="P14" s="455">
        <f t="shared" si="11"/>
        <v>0</v>
      </c>
      <c r="Q14" s="455">
        <f t="shared" si="12"/>
        <v>0</v>
      </c>
      <c r="R14" s="455">
        <f t="shared" si="13"/>
        <v>0</v>
      </c>
      <c r="S14" s="455">
        <f t="shared" si="14"/>
        <v>0</v>
      </c>
      <c r="T14" s="455">
        <f t="shared" si="15"/>
        <v>0</v>
      </c>
      <c r="U14" s="455">
        <f t="shared" si="16"/>
        <v>0</v>
      </c>
      <c r="V14" s="456"/>
      <c r="W14" s="457"/>
      <c r="X14" s="458">
        <f t="shared" si="17"/>
        <v>0</v>
      </c>
      <c r="Y14" s="459">
        <v>1</v>
      </c>
      <c r="Z14" s="459"/>
      <c r="AA14" s="459"/>
      <c r="AB14" s="459"/>
      <c r="AC14" s="459"/>
      <c r="AD14" s="459"/>
      <c r="AE14" s="459"/>
      <c r="AF14" s="459"/>
      <c r="AG14" s="459"/>
      <c r="AH14" s="435">
        <f t="shared" si="2"/>
        <v>1</v>
      </c>
    </row>
    <row r="15" spans="2:34" s="435" customFormat="1">
      <c r="B15" s="430" t="str">
        <f>+'Cómp. y Presup.'!B19</f>
        <v>z026</v>
      </c>
      <c r="C15" s="430" t="str">
        <f>+'Cómp. y Presup.'!C19</f>
        <v>TR005</v>
      </c>
      <c r="D15" s="448">
        <f t="shared" si="0"/>
        <v>1.5</v>
      </c>
      <c r="E15" s="449" t="str">
        <f t="shared" si="1"/>
        <v>Traslado de Inspeccion</v>
      </c>
      <c r="F15" s="460" t="str">
        <f t="shared" si="3"/>
        <v>gl</v>
      </c>
      <c r="G15" s="461">
        <f t="shared" si="4"/>
        <v>1</v>
      </c>
      <c r="H15" s="462">
        <f>+'Cómp. y Presup.'!H19</f>
        <v>82324.464634087693</v>
      </c>
      <c r="I15" s="463">
        <f t="shared" si="6"/>
        <v>82324.464634087693</v>
      </c>
      <c r="J15" s="464">
        <f t="shared" si="7"/>
        <v>7.376159917697335E-3</v>
      </c>
      <c r="K15" s="445"/>
      <c r="L15" s="445"/>
      <c r="M15" s="455">
        <f t="shared" si="8"/>
        <v>8.8513919012368021E-4</v>
      </c>
      <c r="N15" s="455">
        <f t="shared" si="9"/>
        <v>8.1137759094670689E-4</v>
      </c>
      <c r="O15" s="455">
        <f t="shared" si="10"/>
        <v>8.1137759094670689E-4</v>
      </c>
      <c r="P15" s="455">
        <f t="shared" si="11"/>
        <v>8.1137759094670689E-4</v>
      </c>
      <c r="Q15" s="455">
        <f t="shared" si="12"/>
        <v>8.1137759094670689E-4</v>
      </c>
      <c r="R15" s="455">
        <f t="shared" si="13"/>
        <v>8.1137759094670689E-4</v>
      </c>
      <c r="S15" s="455">
        <f t="shared" si="14"/>
        <v>8.1137759094670689E-4</v>
      </c>
      <c r="T15" s="455">
        <f t="shared" si="15"/>
        <v>8.1137759094670689E-4</v>
      </c>
      <c r="U15" s="455">
        <f t="shared" si="16"/>
        <v>8.1137759094670689E-4</v>
      </c>
      <c r="V15" s="456"/>
      <c r="W15" s="457"/>
      <c r="X15" s="458">
        <f t="shared" si="17"/>
        <v>0</v>
      </c>
      <c r="Y15" s="459">
        <v>0.12</v>
      </c>
      <c r="Z15" s="459">
        <v>0.11</v>
      </c>
      <c r="AA15" s="459">
        <v>0.11</v>
      </c>
      <c r="AB15" s="459">
        <v>0.11</v>
      </c>
      <c r="AC15" s="459">
        <v>0.11</v>
      </c>
      <c r="AD15" s="459">
        <v>0.11</v>
      </c>
      <c r="AE15" s="459">
        <v>0.11</v>
      </c>
      <c r="AF15" s="459">
        <v>0.11</v>
      </c>
      <c r="AG15" s="459">
        <v>0.11</v>
      </c>
      <c r="AH15" s="435">
        <f t="shared" si="2"/>
        <v>0.99999999999999989</v>
      </c>
    </row>
    <row r="16" spans="2:34" s="435" customFormat="1">
      <c r="B16" s="430" t="str">
        <f>+'Cómp. y Presup.'!B20</f>
        <v>z027</v>
      </c>
      <c r="C16" s="430">
        <f>+'Cómp. y Presup.'!C20</f>
        <v>0</v>
      </c>
      <c r="D16" s="448" t="str">
        <f t="shared" si="0"/>
        <v>RUBRO II:</v>
      </c>
      <c r="E16" s="465" t="str">
        <f t="shared" si="1"/>
        <v xml:space="preserve"> MOVIMIENTO de SUELOS</v>
      </c>
      <c r="F16" s="466"/>
      <c r="G16" s="467"/>
      <c r="H16" s="468"/>
      <c r="I16" s="469"/>
      <c r="J16" s="470"/>
      <c r="K16" s="445"/>
      <c r="L16" s="445"/>
      <c r="M16" s="471"/>
      <c r="N16" s="472"/>
      <c r="O16" s="472"/>
      <c r="P16" s="472"/>
      <c r="Q16" s="472"/>
      <c r="R16" s="472"/>
      <c r="S16" s="472"/>
      <c r="T16" s="472"/>
      <c r="U16" s="473"/>
      <c r="V16" s="456"/>
      <c r="W16" s="457"/>
      <c r="X16" s="458"/>
      <c r="Y16" s="459"/>
      <c r="Z16" s="459"/>
      <c r="AA16" s="459"/>
      <c r="AB16" s="459"/>
      <c r="AC16" s="459"/>
      <c r="AD16" s="459"/>
      <c r="AE16" s="459"/>
      <c r="AF16" s="459"/>
      <c r="AG16" s="459"/>
      <c r="AH16" s="435">
        <f t="shared" si="2"/>
        <v>0</v>
      </c>
    </row>
    <row r="17" spans="2:34" s="435" customFormat="1">
      <c r="B17" s="430" t="str">
        <f>+'Cómp. y Presup.'!B21</f>
        <v>z028</v>
      </c>
      <c r="C17" s="430" t="str">
        <f>+'Cómp. y Presup.'!C21</f>
        <v>TR006</v>
      </c>
      <c r="D17" s="448">
        <f t="shared" si="0"/>
        <v>2.1</v>
      </c>
      <c r="E17" s="449" t="str">
        <f t="shared" si="1"/>
        <v>Relleno y compactacion con material de aporte</v>
      </c>
      <c r="F17" s="474" t="str">
        <f t="shared" si="3"/>
        <v>m3</v>
      </c>
      <c r="G17" s="475">
        <f t="shared" si="4"/>
        <v>996.52800000000002</v>
      </c>
      <c r="H17" s="476">
        <f>+'Cómp. y Presup.'!H21</f>
        <v>579.32148501688494</v>
      </c>
      <c r="I17" s="477">
        <f t="shared" si="6"/>
        <v>577310.08082090633</v>
      </c>
      <c r="J17" s="478">
        <f t="shared" si="7"/>
        <v>5.1726197032207016E-2</v>
      </c>
      <c r="K17" s="445"/>
      <c r="L17" s="445"/>
      <c r="M17" s="455">
        <f t="shared" si="8"/>
        <v>5.1726197032207016E-2</v>
      </c>
      <c r="N17" s="455">
        <f t="shared" si="9"/>
        <v>0</v>
      </c>
      <c r="O17" s="455">
        <f t="shared" si="10"/>
        <v>0</v>
      </c>
      <c r="P17" s="455">
        <f t="shared" si="11"/>
        <v>0</v>
      </c>
      <c r="Q17" s="455">
        <f t="shared" si="12"/>
        <v>0</v>
      </c>
      <c r="R17" s="455">
        <f t="shared" si="13"/>
        <v>0</v>
      </c>
      <c r="S17" s="455">
        <f t="shared" si="14"/>
        <v>0</v>
      </c>
      <c r="T17" s="455">
        <f t="shared" si="15"/>
        <v>0</v>
      </c>
      <c r="U17" s="455">
        <f t="shared" si="16"/>
        <v>0</v>
      </c>
      <c r="V17" s="456"/>
      <c r="W17" s="457"/>
      <c r="X17" s="458">
        <f t="shared" si="17"/>
        <v>0</v>
      </c>
      <c r="Y17" s="459">
        <v>1</v>
      </c>
      <c r="Z17" s="459"/>
      <c r="AA17" s="459"/>
      <c r="AB17" s="459"/>
      <c r="AC17" s="459"/>
      <c r="AD17" s="459"/>
      <c r="AE17" s="459"/>
      <c r="AF17" s="459"/>
      <c r="AG17" s="459"/>
      <c r="AH17" s="435">
        <f t="shared" si="2"/>
        <v>1</v>
      </c>
    </row>
    <row r="18" spans="2:34" s="435" customFormat="1">
      <c r="B18" s="430" t="str">
        <f>+'Cómp. y Presup.'!B22</f>
        <v>z029</v>
      </c>
      <c r="C18" s="430" t="str">
        <f>+'Cómp. y Presup.'!C22</f>
        <v>TR007</v>
      </c>
      <c r="D18" s="448">
        <f t="shared" si="0"/>
        <v>2.2000000000000002</v>
      </c>
      <c r="E18" s="449" t="str">
        <f t="shared" si="1"/>
        <v>Excavacion para Fundaciones</v>
      </c>
      <c r="F18" s="450" t="str">
        <f t="shared" si="3"/>
        <v>m3</v>
      </c>
      <c r="G18" s="451">
        <f t="shared" si="4"/>
        <v>107</v>
      </c>
      <c r="H18" s="452">
        <f>+'Cómp. y Presup.'!H22</f>
        <v>401.14402189216202</v>
      </c>
      <c r="I18" s="453">
        <f t="shared" si="6"/>
        <v>42922.410342461335</v>
      </c>
      <c r="J18" s="454">
        <f t="shared" si="7"/>
        <v>3.8457895128288116E-3</v>
      </c>
      <c r="K18" s="445"/>
      <c r="L18" s="445"/>
      <c r="M18" s="455">
        <f t="shared" si="8"/>
        <v>3.8457895128288116E-3</v>
      </c>
      <c r="N18" s="455">
        <f t="shared" si="9"/>
        <v>0</v>
      </c>
      <c r="O18" s="455">
        <f t="shared" si="10"/>
        <v>0</v>
      </c>
      <c r="P18" s="455">
        <f t="shared" si="11"/>
        <v>0</v>
      </c>
      <c r="Q18" s="455">
        <f t="shared" si="12"/>
        <v>0</v>
      </c>
      <c r="R18" s="455">
        <f t="shared" si="13"/>
        <v>0</v>
      </c>
      <c r="S18" s="455">
        <f t="shared" si="14"/>
        <v>0</v>
      </c>
      <c r="T18" s="455">
        <f t="shared" si="15"/>
        <v>0</v>
      </c>
      <c r="U18" s="455">
        <f t="shared" si="16"/>
        <v>0</v>
      </c>
      <c r="V18" s="456"/>
      <c r="W18" s="457"/>
      <c r="X18" s="458">
        <f t="shared" si="17"/>
        <v>0</v>
      </c>
      <c r="Y18" s="459">
        <v>1</v>
      </c>
      <c r="Z18" s="459"/>
      <c r="AA18" s="459"/>
      <c r="AB18" s="459"/>
      <c r="AC18" s="459"/>
      <c r="AD18" s="459"/>
      <c r="AE18" s="459"/>
      <c r="AF18" s="459"/>
      <c r="AG18" s="459"/>
      <c r="AH18" s="435">
        <f t="shared" si="2"/>
        <v>1</v>
      </c>
    </row>
    <row r="19" spans="2:34" s="435" customFormat="1">
      <c r="B19" s="430" t="str">
        <f>+'Cómp. y Presup.'!B23</f>
        <v>z030</v>
      </c>
      <c r="C19" s="430">
        <f>+'Cómp. y Presup.'!C23</f>
        <v>0</v>
      </c>
      <c r="D19" s="448" t="str">
        <f t="shared" si="0"/>
        <v>RUBRO III:</v>
      </c>
      <c r="E19" s="449" t="str">
        <f t="shared" si="1"/>
        <v xml:space="preserve"> ESTRUCTURA RESISTENTE</v>
      </c>
      <c r="F19" s="450"/>
      <c r="G19" s="451"/>
      <c r="H19" s="452"/>
      <c r="I19" s="453"/>
      <c r="J19" s="454"/>
      <c r="K19" s="445"/>
      <c r="L19" s="445"/>
      <c r="M19" s="471"/>
      <c r="N19" s="472"/>
      <c r="O19" s="472"/>
      <c r="P19" s="472"/>
      <c r="Q19" s="472"/>
      <c r="R19" s="472"/>
      <c r="S19" s="472"/>
      <c r="T19" s="472"/>
      <c r="U19" s="473"/>
      <c r="V19" s="456"/>
      <c r="W19" s="457"/>
      <c r="X19" s="458"/>
      <c r="Y19" s="459"/>
      <c r="Z19" s="459"/>
      <c r="AA19" s="459"/>
      <c r="AB19" s="459"/>
      <c r="AC19" s="459"/>
      <c r="AD19" s="459"/>
      <c r="AE19" s="459"/>
      <c r="AF19" s="459"/>
      <c r="AG19" s="459"/>
    </row>
    <row r="20" spans="2:34" s="435" customFormat="1">
      <c r="B20" s="430" t="str">
        <f>+'Cómp. y Presup.'!B24</f>
        <v>z031</v>
      </c>
      <c r="C20" s="430" t="str">
        <f>+'Cómp. y Presup.'!C24</f>
        <v>TR008</v>
      </c>
      <c r="D20" s="448">
        <f t="shared" si="0"/>
        <v>3.1</v>
      </c>
      <c r="E20" s="449" t="str">
        <f t="shared" si="1"/>
        <v>Hormigón de Limpieza</v>
      </c>
      <c r="F20" s="450" t="str">
        <f t="shared" si="3"/>
        <v>m3</v>
      </c>
      <c r="G20" s="451">
        <f t="shared" si="4"/>
        <v>22.27</v>
      </c>
      <c r="H20" s="452">
        <f>+'Cómp. y Presup.'!H24</f>
        <v>4518.9607812077693</v>
      </c>
      <c r="I20" s="453">
        <f t="shared" si="6"/>
        <v>100637.25659749702</v>
      </c>
      <c r="J20" s="454">
        <f t="shared" si="7"/>
        <v>9.016961138355364E-3</v>
      </c>
      <c r="K20" s="445"/>
      <c r="L20" s="445"/>
      <c r="M20" s="455">
        <f t="shared" si="8"/>
        <v>1.803392227671073E-3</v>
      </c>
      <c r="N20" s="455">
        <f t="shared" si="9"/>
        <v>7.2135689106842919E-3</v>
      </c>
      <c r="O20" s="455">
        <f t="shared" si="10"/>
        <v>0</v>
      </c>
      <c r="P20" s="455">
        <f t="shared" si="11"/>
        <v>0</v>
      </c>
      <c r="Q20" s="455">
        <f t="shared" si="12"/>
        <v>0</v>
      </c>
      <c r="R20" s="455">
        <f t="shared" si="13"/>
        <v>0</v>
      </c>
      <c r="S20" s="455">
        <f t="shared" si="14"/>
        <v>0</v>
      </c>
      <c r="T20" s="455">
        <f t="shared" si="15"/>
        <v>0</v>
      </c>
      <c r="U20" s="455">
        <f t="shared" si="16"/>
        <v>0</v>
      </c>
      <c r="V20" s="456"/>
      <c r="W20" s="457"/>
      <c r="X20" s="458">
        <f t="shared" si="17"/>
        <v>0</v>
      </c>
      <c r="Y20" s="459">
        <v>0.2</v>
      </c>
      <c r="Z20" s="459">
        <v>0.8</v>
      </c>
      <c r="AA20" s="459"/>
      <c r="AB20" s="459"/>
      <c r="AC20" s="459"/>
      <c r="AD20" s="459"/>
      <c r="AE20" s="459"/>
      <c r="AF20" s="459"/>
      <c r="AG20" s="459"/>
      <c r="AH20" s="435">
        <f t="shared" ref="AH20:AH35" si="18">SUM(Y20:AG20)</f>
        <v>1</v>
      </c>
    </row>
    <row r="21" spans="2:34" s="435" customFormat="1">
      <c r="B21" s="430" t="str">
        <f>+'Cómp. y Presup.'!B25</f>
        <v>z032</v>
      </c>
      <c r="C21" s="430" t="str">
        <f>+'Cómp. y Presup.'!C25</f>
        <v>TR009</v>
      </c>
      <c r="D21" s="448">
        <f t="shared" si="0"/>
        <v>3.2</v>
      </c>
      <c r="E21" s="449" t="str">
        <f t="shared" si="1"/>
        <v>Cimiento comun con Piedra Bola</v>
      </c>
      <c r="F21" s="450" t="str">
        <f t="shared" si="3"/>
        <v>m3</v>
      </c>
      <c r="G21" s="451">
        <f t="shared" si="4"/>
        <v>68.900000000000006</v>
      </c>
      <c r="H21" s="452">
        <f>+'Cómp. y Presup.'!H25</f>
        <v>4919.6566209773282</v>
      </c>
      <c r="I21" s="453">
        <f t="shared" si="6"/>
        <v>338964.34118533792</v>
      </c>
      <c r="J21" s="454">
        <f t="shared" si="7"/>
        <v>3.037074335184568E-2</v>
      </c>
      <c r="K21" s="445"/>
      <c r="L21" s="445"/>
      <c r="M21" s="455">
        <f t="shared" si="8"/>
        <v>3.0370743351845683E-3</v>
      </c>
      <c r="N21" s="455">
        <f t="shared" si="9"/>
        <v>1.518537167592284E-2</v>
      </c>
      <c r="O21" s="455">
        <f t="shared" si="10"/>
        <v>1.2148297340738273E-2</v>
      </c>
      <c r="P21" s="455">
        <f t="shared" si="11"/>
        <v>0</v>
      </c>
      <c r="Q21" s="455">
        <f t="shared" si="12"/>
        <v>0</v>
      </c>
      <c r="R21" s="455">
        <f t="shared" si="13"/>
        <v>0</v>
      </c>
      <c r="S21" s="455">
        <f t="shared" si="14"/>
        <v>0</v>
      </c>
      <c r="T21" s="455">
        <f t="shared" si="15"/>
        <v>0</v>
      </c>
      <c r="U21" s="455">
        <f t="shared" si="16"/>
        <v>0</v>
      </c>
      <c r="V21" s="456"/>
      <c r="W21" s="457"/>
      <c r="X21" s="458">
        <f t="shared" si="17"/>
        <v>0</v>
      </c>
      <c r="Y21" s="459">
        <v>0.1</v>
      </c>
      <c r="Z21" s="459">
        <v>0.5</v>
      </c>
      <c r="AA21" s="459">
        <v>0.4</v>
      </c>
      <c r="AB21" s="459"/>
      <c r="AC21" s="459"/>
      <c r="AD21" s="459"/>
      <c r="AE21" s="459"/>
      <c r="AF21" s="459"/>
      <c r="AG21" s="459"/>
      <c r="AH21" s="435">
        <f t="shared" si="18"/>
        <v>1</v>
      </c>
    </row>
    <row r="22" spans="2:34" s="435" customFormat="1">
      <c r="B22" s="430" t="str">
        <f>+'Cómp. y Presup.'!B26</f>
        <v>z033</v>
      </c>
      <c r="C22" s="430" t="str">
        <f>+'Cómp. y Presup.'!C26</f>
        <v>TR010</v>
      </c>
      <c r="D22" s="448">
        <f t="shared" si="0"/>
        <v>3.3</v>
      </c>
      <c r="E22" s="449" t="str">
        <f t="shared" si="1"/>
        <v>Bases de Columnas</v>
      </c>
      <c r="F22" s="450" t="str">
        <f t="shared" si="3"/>
        <v>m3</v>
      </c>
      <c r="G22" s="451">
        <f t="shared" si="4"/>
        <v>14.48</v>
      </c>
      <c r="H22" s="452">
        <f>+'Cómp. y Presup.'!H26</f>
        <v>5325.0772545994205</v>
      </c>
      <c r="I22" s="453">
        <f t="shared" si="6"/>
        <v>77107.118646599614</v>
      </c>
      <c r="J22" s="454">
        <f t="shared" si="7"/>
        <v>6.9086928224575354E-3</v>
      </c>
      <c r="K22" s="445"/>
      <c r="L22" s="445"/>
      <c r="M22" s="455">
        <f t="shared" si="8"/>
        <v>0</v>
      </c>
      <c r="N22" s="455">
        <f t="shared" si="9"/>
        <v>6.9086928224575354E-3</v>
      </c>
      <c r="O22" s="455">
        <f t="shared" si="10"/>
        <v>0</v>
      </c>
      <c r="P22" s="455">
        <f t="shared" si="11"/>
        <v>0</v>
      </c>
      <c r="Q22" s="455">
        <f t="shared" si="12"/>
        <v>0</v>
      </c>
      <c r="R22" s="455">
        <f t="shared" si="13"/>
        <v>0</v>
      </c>
      <c r="S22" s="455">
        <f t="shared" si="14"/>
        <v>0</v>
      </c>
      <c r="T22" s="455">
        <f t="shared" si="15"/>
        <v>0</v>
      </c>
      <c r="U22" s="455">
        <f t="shared" si="16"/>
        <v>0</v>
      </c>
      <c r="V22" s="456"/>
      <c r="W22" s="457"/>
      <c r="X22" s="458">
        <f t="shared" si="17"/>
        <v>0</v>
      </c>
      <c r="Y22" s="459"/>
      <c r="Z22" s="459">
        <v>1</v>
      </c>
      <c r="AA22" s="459"/>
      <c r="AB22" s="459"/>
      <c r="AC22" s="459"/>
      <c r="AD22" s="459"/>
      <c r="AE22" s="459"/>
      <c r="AF22" s="459"/>
      <c r="AG22" s="459"/>
      <c r="AH22" s="435">
        <f t="shared" si="18"/>
        <v>1</v>
      </c>
    </row>
    <row r="23" spans="2:34" s="435" customFormat="1">
      <c r="B23" s="430" t="str">
        <f>+'Cómp. y Presup.'!B27</f>
        <v>z034</v>
      </c>
      <c r="C23" s="430" t="str">
        <f>+'Cómp. y Presup.'!C27</f>
        <v>TR011</v>
      </c>
      <c r="D23" s="448">
        <f t="shared" si="0"/>
        <v>3.4</v>
      </c>
      <c r="E23" s="449" t="str">
        <f t="shared" si="1"/>
        <v>Vigas de Arriostramiento y Fundacion</v>
      </c>
      <c r="F23" s="450" t="str">
        <f t="shared" si="3"/>
        <v>m3</v>
      </c>
      <c r="G23" s="451">
        <f t="shared" si="4"/>
        <v>23.8</v>
      </c>
      <c r="H23" s="452">
        <f>+'Cómp. y Presup.'!H27</f>
        <v>11581.977044832493</v>
      </c>
      <c r="I23" s="453">
        <f t="shared" si="6"/>
        <v>275651.05366701336</v>
      </c>
      <c r="J23" s="454">
        <f t="shared" si="7"/>
        <v>2.4697959013361921E-2</v>
      </c>
      <c r="K23" s="445"/>
      <c r="L23" s="445"/>
      <c r="M23" s="455">
        <f t="shared" ref="M23:U23" si="19">+$J23*Y23</f>
        <v>0</v>
      </c>
      <c r="N23" s="455">
        <f t="shared" si="19"/>
        <v>1.7288571309353344E-2</v>
      </c>
      <c r="O23" s="455">
        <f t="shared" si="19"/>
        <v>7.4093877040085762E-3</v>
      </c>
      <c r="P23" s="455">
        <f t="shared" si="19"/>
        <v>0</v>
      </c>
      <c r="Q23" s="455">
        <f t="shared" si="19"/>
        <v>0</v>
      </c>
      <c r="R23" s="455">
        <f t="shared" si="19"/>
        <v>0</v>
      </c>
      <c r="S23" s="455">
        <f t="shared" si="19"/>
        <v>0</v>
      </c>
      <c r="T23" s="455">
        <f t="shared" si="19"/>
        <v>0</v>
      </c>
      <c r="U23" s="455">
        <f t="shared" si="19"/>
        <v>0</v>
      </c>
      <c r="V23" s="456"/>
      <c r="W23" s="457"/>
      <c r="X23" s="458">
        <f t="shared" si="17"/>
        <v>0</v>
      </c>
      <c r="Y23" s="459"/>
      <c r="Z23" s="459">
        <v>0.7</v>
      </c>
      <c r="AA23" s="459">
        <v>0.3</v>
      </c>
      <c r="AB23" s="459"/>
      <c r="AC23" s="459"/>
      <c r="AD23" s="459"/>
      <c r="AE23" s="459"/>
      <c r="AF23" s="459"/>
      <c r="AG23" s="459"/>
      <c r="AH23" s="435">
        <f t="shared" si="18"/>
        <v>1</v>
      </c>
    </row>
    <row r="24" spans="2:34" s="435" customFormat="1">
      <c r="B24" s="430" t="str">
        <f>+'Cómp. y Presup.'!B28</f>
        <v>z035</v>
      </c>
      <c r="C24" s="430" t="str">
        <f>+'Cómp. y Presup.'!C28</f>
        <v>TR012</v>
      </c>
      <c r="D24" s="448">
        <f t="shared" si="0"/>
        <v>3.5</v>
      </c>
      <c r="E24" s="449" t="str">
        <f t="shared" si="1"/>
        <v>Columnas de Carga</v>
      </c>
      <c r="F24" s="450" t="str">
        <f t="shared" si="3"/>
        <v>m3</v>
      </c>
      <c r="G24" s="451">
        <f t="shared" si="4"/>
        <v>11.74</v>
      </c>
      <c r="H24" s="452">
        <f>+'Cómp. y Presup.'!H28</f>
        <v>14553.068850689797</v>
      </c>
      <c r="I24" s="453">
        <f t="shared" si="6"/>
        <v>170853.02830709823</v>
      </c>
      <c r="J24" s="454">
        <f t="shared" si="7"/>
        <v>1.5308198660234043E-2</v>
      </c>
      <c r="K24" s="445"/>
      <c r="L24" s="445"/>
      <c r="M24" s="455">
        <f t="shared" ref="M24:M33" si="20">+$J24*Y24</f>
        <v>0</v>
      </c>
      <c r="N24" s="455">
        <f t="shared" ref="N24:N33" si="21">+$J24*Z24</f>
        <v>3.0616397320468087E-3</v>
      </c>
      <c r="O24" s="455">
        <f t="shared" ref="O24:O33" si="22">+$J24*AA24</f>
        <v>1.2246558928187235E-2</v>
      </c>
      <c r="P24" s="455">
        <f t="shared" ref="P24:P33" si="23">+$J24*AB24</f>
        <v>0</v>
      </c>
      <c r="Q24" s="455">
        <f t="shared" ref="Q24:Q33" si="24">+$J24*AC24</f>
        <v>0</v>
      </c>
      <c r="R24" s="455">
        <f t="shared" ref="R24:R33" si="25">+$J24*AD24</f>
        <v>0</v>
      </c>
      <c r="S24" s="455">
        <f t="shared" ref="S24:S33" si="26">+$J24*AE24</f>
        <v>0</v>
      </c>
      <c r="T24" s="455">
        <f t="shared" ref="T24:T33" si="27">+$J24*AF24</f>
        <v>0</v>
      </c>
      <c r="U24" s="455">
        <f t="shared" ref="U24:U33" si="28">+$J24*AG24</f>
        <v>0</v>
      </c>
      <c r="V24" s="456"/>
      <c r="W24" s="457"/>
      <c r="X24" s="458">
        <f t="shared" si="17"/>
        <v>0</v>
      </c>
      <c r="Y24" s="459"/>
      <c r="Z24" s="459">
        <v>0.2</v>
      </c>
      <c r="AA24" s="459">
        <v>0.8</v>
      </c>
      <c r="AB24" s="459"/>
      <c r="AC24" s="459"/>
      <c r="AD24" s="459"/>
      <c r="AE24" s="459"/>
      <c r="AF24" s="459"/>
      <c r="AG24" s="459"/>
      <c r="AH24" s="435">
        <f t="shared" si="18"/>
        <v>1</v>
      </c>
    </row>
    <row r="25" spans="2:34" s="435" customFormat="1">
      <c r="B25" s="430" t="str">
        <f>+'Cómp. y Presup.'!B29</f>
        <v>z036</v>
      </c>
      <c r="C25" s="430" t="str">
        <f>+'Cómp. y Presup.'!C29</f>
        <v>TR013</v>
      </c>
      <c r="D25" s="448">
        <f t="shared" si="0"/>
        <v>3.6</v>
      </c>
      <c r="E25" s="449" t="str">
        <f t="shared" si="1"/>
        <v>Columnas de Encadenado</v>
      </c>
      <c r="F25" s="450" t="str">
        <f t="shared" si="3"/>
        <v>m3</v>
      </c>
      <c r="G25" s="451">
        <f t="shared" si="4"/>
        <v>11.64</v>
      </c>
      <c r="H25" s="452">
        <f>+'Cómp. y Presup.'!H29</f>
        <v>10291.922730508031</v>
      </c>
      <c r="I25" s="453">
        <f t="shared" si="6"/>
        <v>119797.98058311349</v>
      </c>
      <c r="J25" s="454">
        <f t="shared" si="7"/>
        <v>1.0733735913447496E-2</v>
      </c>
      <c r="K25" s="445"/>
      <c r="L25" s="445"/>
      <c r="M25" s="455">
        <f t="shared" si="20"/>
        <v>0</v>
      </c>
      <c r="N25" s="455">
        <f t="shared" si="21"/>
        <v>2.1467471826894994E-3</v>
      </c>
      <c r="O25" s="455">
        <f t="shared" si="22"/>
        <v>8.5869887307579978E-3</v>
      </c>
      <c r="P25" s="455">
        <f t="shared" si="23"/>
        <v>0</v>
      </c>
      <c r="Q25" s="455">
        <f t="shared" si="24"/>
        <v>0</v>
      </c>
      <c r="R25" s="455">
        <f t="shared" si="25"/>
        <v>0</v>
      </c>
      <c r="S25" s="455">
        <f t="shared" si="26"/>
        <v>0</v>
      </c>
      <c r="T25" s="455">
        <f t="shared" si="27"/>
        <v>0</v>
      </c>
      <c r="U25" s="455">
        <f t="shared" si="28"/>
        <v>0</v>
      </c>
      <c r="V25" s="456"/>
      <c r="W25" s="457"/>
      <c r="X25" s="458">
        <f t="shared" si="17"/>
        <v>0</v>
      </c>
      <c r="Y25" s="459"/>
      <c r="Z25" s="459">
        <v>0.2</v>
      </c>
      <c r="AA25" s="459">
        <v>0.8</v>
      </c>
      <c r="AB25" s="459"/>
      <c r="AC25" s="459"/>
      <c r="AD25" s="459"/>
      <c r="AE25" s="459"/>
      <c r="AF25" s="459"/>
      <c r="AG25" s="459"/>
      <c r="AH25" s="435">
        <f t="shared" si="18"/>
        <v>1</v>
      </c>
    </row>
    <row r="26" spans="2:34" s="435" customFormat="1">
      <c r="B26" s="430" t="str">
        <f>+'Cómp. y Presup.'!B30</f>
        <v>z037</v>
      </c>
      <c r="C26" s="430" t="str">
        <f>+'Cómp. y Presup.'!C30</f>
        <v>TR014</v>
      </c>
      <c r="D26" s="448">
        <f t="shared" si="0"/>
        <v>3.7</v>
      </c>
      <c r="E26" s="449" t="str">
        <f t="shared" si="1"/>
        <v>Vigas de Encadenado</v>
      </c>
      <c r="F26" s="450" t="str">
        <f t="shared" si="3"/>
        <v>m3</v>
      </c>
      <c r="G26" s="451">
        <f t="shared" si="4"/>
        <v>15.58</v>
      </c>
      <c r="H26" s="452">
        <f>+'Cómp. y Presup.'!H30</f>
        <v>10283.133170508032</v>
      </c>
      <c r="I26" s="453">
        <f>+H26*G26</f>
        <v>160211.21479651515</v>
      </c>
      <c r="J26" s="454">
        <f t="shared" si="7"/>
        <v>1.4354706662232389E-2</v>
      </c>
      <c r="K26" s="445"/>
      <c r="L26" s="445"/>
      <c r="M26" s="455">
        <f t="shared" si="20"/>
        <v>0</v>
      </c>
      <c r="N26" s="455">
        <f t="shared" si="21"/>
        <v>0</v>
      </c>
      <c r="O26" s="455">
        <f t="shared" si="22"/>
        <v>5.741882664892956E-3</v>
      </c>
      <c r="P26" s="455">
        <f t="shared" si="23"/>
        <v>8.6128239973394336E-3</v>
      </c>
      <c r="Q26" s="455">
        <f t="shared" si="24"/>
        <v>0</v>
      </c>
      <c r="R26" s="455">
        <f t="shared" si="25"/>
        <v>0</v>
      </c>
      <c r="S26" s="455">
        <f t="shared" si="26"/>
        <v>0</v>
      </c>
      <c r="T26" s="455">
        <f t="shared" si="27"/>
        <v>0</v>
      </c>
      <c r="U26" s="455">
        <f t="shared" si="28"/>
        <v>0</v>
      </c>
      <c r="V26" s="456"/>
      <c r="W26" s="457"/>
      <c r="X26" s="458">
        <f t="shared" si="17"/>
        <v>0</v>
      </c>
      <c r="Y26" s="459"/>
      <c r="Z26" s="459"/>
      <c r="AA26" s="459">
        <v>0.4</v>
      </c>
      <c r="AB26" s="459">
        <v>0.6</v>
      </c>
      <c r="AC26" s="459"/>
      <c r="AD26" s="459"/>
      <c r="AE26" s="459"/>
      <c r="AF26" s="459"/>
      <c r="AG26" s="459"/>
      <c r="AH26" s="435">
        <f t="shared" si="18"/>
        <v>1</v>
      </c>
    </row>
    <row r="27" spans="2:34" s="435" customFormat="1">
      <c r="B27" s="430" t="str">
        <f>+'Cómp. y Presup.'!B31</f>
        <v>z038</v>
      </c>
      <c r="C27" s="430" t="str">
        <f>+'Cómp. y Presup.'!C31</f>
        <v>TR015</v>
      </c>
      <c r="D27" s="448">
        <f t="shared" si="0"/>
        <v>3.8</v>
      </c>
      <c r="E27" s="449" t="str">
        <f t="shared" si="1"/>
        <v>Vigas de Carga</v>
      </c>
      <c r="F27" s="450" t="str">
        <f t="shared" si="3"/>
        <v>m3</v>
      </c>
      <c r="G27" s="451">
        <f t="shared" si="4"/>
        <v>34.75</v>
      </c>
      <c r="H27" s="452">
        <f>+'Cómp. y Presup.'!H31</f>
        <v>16197.517221795535</v>
      </c>
      <c r="I27" s="453">
        <f t="shared" si="6"/>
        <v>562863.72345739487</v>
      </c>
      <c r="J27" s="454">
        <f t="shared" si="7"/>
        <v>5.0431823086198473E-2</v>
      </c>
      <c r="K27" s="445"/>
      <c r="L27" s="445"/>
      <c r="M27" s="455">
        <f t="shared" si="20"/>
        <v>0</v>
      </c>
      <c r="N27" s="455">
        <f t="shared" si="21"/>
        <v>0</v>
      </c>
      <c r="O27" s="455">
        <f t="shared" si="22"/>
        <v>0</v>
      </c>
      <c r="P27" s="455">
        <f t="shared" si="23"/>
        <v>4.0345458468958782E-2</v>
      </c>
      <c r="Q27" s="455">
        <f t="shared" si="24"/>
        <v>1.0086364617239696E-2</v>
      </c>
      <c r="R27" s="455">
        <f t="shared" si="25"/>
        <v>0</v>
      </c>
      <c r="S27" s="455">
        <f t="shared" si="26"/>
        <v>0</v>
      </c>
      <c r="T27" s="455">
        <f t="shared" si="27"/>
        <v>0</v>
      </c>
      <c r="U27" s="455">
        <f t="shared" si="28"/>
        <v>0</v>
      </c>
      <c r="V27" s="456"/>
      <c r="W27" s="457"/>
      <c r="X27" s="458">
        <f t="shared" si="17"/>
        <v>0</v>
      </c>
      <c r="Y27" s="459"/>
      <c r="Z27" s="459"/>
      <c r="AA27" s="459"/>
      <c r="AB27" s="459">
        <v>0.8</v>
      </c>
      <c r="AC27" s="459">
        <v>0.2</v>
      </c>
      <c r="AD27" s="459"/>
      <c r="AE27" s="459"/>
      <c r="AF27" s="459"/>
      <c r="AG27" s="459"/>
      <c r="AH27" s="435">
        <f t="shared" si="18"/>
        <v>1</v>
      </c>
    </row>
    <row r="28" spans="2:34" s="435" customFormat="1">
      <c r="B28" s="430" t="str">
        <f>+'Cómp. y Presup.'!B32</f>
        <v>z039</v>
      </c>
      <c r="C28" s="430" t="str">
        <f>+'Cómp. y Presup.'!C32</f>
        <v>TR016</v>
      </c>
      <c r="D28" s="448">
        <f t="shared" si="0"/>
        <v>3.9</v>
      </c>
      <c r="E28" s="479" t="str">
        <f t="shared" si="1"/>
        <v>Losa Maciza de Hormigon visto</v>
      </c>
      <c r="F28" s="450" t="str">
        <f t="shared" si="3"/>
        <v>m3</v>
      </c>
      <c r="G28" s="451">
        <f t="shared" si="4"/>
        <v>96.79</v>
      </c>
      <c r="H28" s="452">
        <f>+'Cómp. y Presup.'!H32</f>
        <v>15835.411192516405</v>
      </c>
      <c r="I28" s="453">
        <f t="shared" si="6"/>
        <v>1532709.449323663</v>
      </c>
      <c r="J28" s="454">
        <f t="shared" si="7"/>
        <v>0.1373286793400651</v>
      </c>
      <c r="K28" s="445"/>
      <c r="L28" s="445"/>
      <c r="M28" s="455">
        <f t="shared" si="20"/>
        <v>0</v>
      </c>
      <c r="N28" s="455">
        <f t="shared" si="21"/>
        <v>0</v>
      </c>
      <c r="O28" s="455">
        <f t="shared" si="22"/>
        <v>0</v>
      </c>
      <c r="P28" s="455">
        <f t="shared" si="23"/>
        <v>4.1198603802019527E-2</v>
      </c>
      <c r="Q28" s="455">
        <f t="shared" si="24"/>
        <v>9.6130075538045562E-2</v>
      </c>
      <c r="R28" s="455">
        <f t="shared" si="25"/>
        <v>0</v>
      </c>
      <c r="S28" s="455">
        <f t="shared" si="26"/>
        <v>0</v>
      </c>
      <c r="T28" s="455">
        <f t="shared" si="27"/>
        <v>0</v>
      </c>
      <c r="U28" s="455">
        <f t="shared" si="28"/>
        <v>0</v>
      </c>
      <c r="V28" s="456"/>
      <c r="W28" s="457"/>
      <c r="X28" s="458">
        <f t="shared" si="17"/>
        <v>0</v>
      </c>
      <c r="Y28" s="459"/>
      <c r="Z28" s="459"/>
      <c r="AA28" s="459"/>
      <c r="AB28" s="459">
        <v>0.3</v>
      </c>
      <c r="AC28" s="459">
        <v>0.7</v>
      </c>
      <c r="AD28" s="459"/>
      <c r="AE28" s="459"/>
      <c r="AF28" s="459"/>
      <c r="AG28" s="459"/>
      <c r="AH28" s="435">
        <f t="shared" si="18"/>
        <v>1</v>
      </c>
    </row>
    <row r="29" spans="2:34" s="435" customFormat="1">
      <c r="B29" s="430" t="str">
        <f>+'Cómp. y Presup.'!B33</f>
        <v>z040</v>
      </c>
      <c r="C29" s="430">
        <f>+'Cómp. y Presup.'!C33</f>
        <v>0</v>
      </c>
      <c r="D29" s="448" t="str">
        <f t="shared" si="0"/>
        <v>RUBRO IV:</v>
      </c>
      <c r="E29" s="449" t="str">
        <f t="shared" si="1"/>
        <v>ALBAÑILERÍA</v>
      </c>
      <c r="F29" s="466"/>
      <c r="G29" s="467"/>
      <c r="H29" s="468"/>
      <c r="I29" s="469"/>
      <c r="J29" s="470"/>
      <c r="K29" s="445"/>
      <c r="L29" s="445"/>
      <c r="M29" s="471"/>
      <c r="N29" s="472"/>
      <c r="O29" s="472"/>
      <c r="P29" s="472"/>
      <c r="Q29" s="472"/>
      <c r="R29" s="472"/>
      <c r="S29" s="472"/>
      <c r="T29" s="472"/>
      <c r="U29" s="473"/>
      <c r="V29" s="456"/>
      <c r="W29" s="457"/>
      <c r="X29" s="458">
        <f t="shared" si="17"/>
        <v>0</v>
      </c>
      <c r="Y29" s="459"/>
      <c r="Z29" s="459"/>
      <c r="AA29" s="459"/>
      <c r="AB29" s="459"/>
      <c r="AC29" s="459"/>
      <c r="AD29" s="459"/>
      <c r="AE29" s="459"/>
      <c r="AF29" s="459"/>
      <c r="AG29" s="459"/>
      <c r="AH29" s="435">
        <f t="shared" si="18"/>
        <v>0</v>
      </c>
    </row>
    <row r="30" spans="2:34" s="435" customFormat="1">
      <c r="B30" s="430" t="str">
        <f>+'Cómp. y Presup.'!B34</f>
        <v>z041</v>
      </c>
      <c r="C30" s="430" t="str">
        <f>+'Cómp. y Presup.'!C34</f>
        <v>TR017</v>
      </c>
      <c r="D30" s="448">
        <f t="shared" si="0"/>
        <v>4.0999999999999996</v>
      </c>
      <c r="E30" s="449" t="str">
        <f t="shared" si="1"/>
        <v>Mamposteria de ladrillon de 0.30 de espesor</v>
      </c>
      <c r="F30" s="450" t="str">
        <f t="shared" si="3"/>
        <v>m2</v>
      </c>
      <c r="G30" s="451">
        <f t="shared" si="4"/>
        <v>490</v>
      </c>
      <c r="H30" s="452">
        <f>+'Cómp. y Presup.'!H34</f>
        <v>1055.0970267032367</v>
      </c>
      <c r="I30" s="453">
        <f t="shared" si="6"/>
        <v>516997.54308458598</v>
      </c>
      <c r="J30" s="454">
        <f t="shared" si="7"/>
        <v>4.6322275787621763E-2</v>
      </c>
      <c r="K30" s="445"/>
      <c r="L30" s="445"/>
      <c r="M30" s="455">
        <f t="shared" si="20"/>
        <v>0</v>
      </c>
      <c r="N30" s="455">
        <f t="shared" si="21"/>
        <v>0</v>
      </c>
      <c r="O30" s="455">
        <f t="shared" si="22"/>
        <v>4.169004820885959E-2</v>
      </c>
      <c r="P30" s="455">
        <f t="shared" si="23"/>
        <v>4.6322275787621763E-3</v>
      </c>
      <c r="Q30" s="455">
        <f t="shared" si="24"/>
        <v>0</v>
      </c>
      <c r="R30" s="455">
        <f t="shared" si="25"/>
        <v>0</v>
      </c>
      <c r="S30" s="455">
        <f t="shared" si="26"/>
        <v>0</v>
      </c>
      <c r="T30" s="455">
        <f t="shared" si="27"/>
        <v>0</v>
      </c>
      <c r="U30" s="455">
        <f t="shared" si="28"/>
        <v>0</v>
      </c>
      <c r="V30" s="456"/>
      <c r="W30" s="457"/>
      <c r="X30" s="458">
        <f t="shared" si="17"/>
        <v>0</v>
      </c>
      <c r="Y30" s="459"/>
      <c r="Z30" s="459"/>
      <c r="AA30" s="459">
        <v>0.9</v>
      </c>
      <c r="AB30" s="459">
        <v>0.1</v>
      </c>
      <c r="AC30" s="459"/>
      <c r="AD30" s="459"/>
      <c r="AE30" s="459"/>
      <c r="AF30" s="459"/>
      <c r="AG30" s="459"/>
      <c r="AH30" s="435">
        <f t="shared" si="18"/>
        <v>1</v>
      </c>
    </row>
    <row r="31" spans="2:34" s="435" customFormat="1">
      <c r="B31" s="430" t="str">
        <f>+'Cómp. y Presup.'!B35</f>
        <v>z042</v>
      </c>
      <c r="C31" s="430" t="str">
        <f>+'Cómp. y Presup.'!C35</f>
        <v>TR018</v>
      </c>
      <c r="D31" s="448">
        <f t="shared" si="0"/>
        <v>4.2</v>
      </c>
      <c r="E31" s="449" t="str">
        <f t="shared" si="1"/>
        <v>Mamposteria de ladrillon de 0.20 de espesor</v>
      </c>
      <c r="F31" s="450" t="str">
        <f t="shared" si="3"/>
        <v>m2</v>
      </c>
      <c r="G31" s="451">
        <f t="shared" si="4"/>
        <v>132.5</v>
      </c>
      <c r="H31" s="452">
        <f>+'Cómp. y Presup.'!H35</f>
        <v>736.51232579089378</v>
      </c>
      <c r="I31" s="453">
        <f t="shared" si="6"/>
        <v>97587.883167293432</v>
      </c>
      <c r="J31" s="454">
        <f t="shared" si="7"/>
        <v>8.7437414317962821E-3</v>
      </c>
      <c r="K31" s="445"/>
      <c r="L31" s="445"/>
      <c r="M31" s="455">
        <f t="shared" si="20"/>
        <v>0</v>
      </c>
      <c r="N31" s="455">
        <f t="shared" si="21"/>
        <v>0</v>
      </c>
      <c r="O31" s="455">
        <f t="shared" si="22"/>
        <v>6.9949931454370258E-3</v>
      </c>
      <c r="P31" s="455">
        <f t="shared" si="23"/>
        <v>1.7487482863592565E-3</v>
      </c>
      <c r="Q31" s="455">
        <f t="shared" si="24"/>
        <v>0</v>
      </c>
      <c r="R31" s="455">
        <f t="shared" si="25"/>
        <v>0</v>
      </c>
      <c r="S31" s="455">
        <f t="shared" si="26"/>
        <v>0</v>
      </c>
      <c r="T31" s="455">
        <f t="shared" si="27"/>
        <v>0</v>
      </c>
      <c r="U31" s="455">
        <f t="shared" si="28"/>
        <v>0</v>
      </c>
      <c r="V31" s="456"/>
      <c r="W31" s="457"/>
      <c r="X31" s="458">
        <f t="shared" si="17"/>
        <v>0</v>
      </c>
      <c r="Y31" s="459"/>
      <c r="Z31" s="459"/>
      <c r="AA31" s="459">
        <v>0.8</v>
      </c>
      <c r="AB31" s="459">
        <v>0.2</v>
      </c>
      <c r="AC31" s="459"/>
      <c r="AD31" s="459"/>
      <c r="AE31" s="459"/>
      <c r="AF31" s="459"/>
      <c r="AG31" s="459"/>
      <c r="AH31" s="435">
        <f t="shared" si="18"/>
        <v>1</v>
      </c>
    </row>
    <row r="32" spans="2:34" s="435" customFormat="1">
      <c r="B32" s="430" t="str">
        <f>+'Cómp. y Presup.'!B36</f>
        <v>z043</v>
      </c>
      <c r="C32" s="430" t="str">
        <f>+'Cómp. y Presup.'!C36</f>
        <v>TR019</v>
      </c>
      <c r="D32" s="448">
        <f t="shared" si="0"/>
        <v>4.3</v>
      </c>
      <c r="E32" s="449" t="str">
        <f t="shared" si="1"/>
        <v>Mamposteria de ladrillo de 0.12 de espesor</v>
      </c>
      <c r="F32" s="450" t="str">
        <f t="shared" si="3"/>
        <v>m2</v>
      </c>
      <c r="G32" s="451">
        <f t="shared" si="4"/>
        <v>26.5</v>
      </c>
      <c r="H32" s="452">
        <f>+'Cómp. y Presup.'!H36</f>
        <v>695.20139379089392</v>
      </c>
      <c r="I32" s="453">
        <f t="shared" si="6"/>
        <v>18422.83693545869</v>
      </c>
      <c r="J32" s="454">
        <f t="shared" si="7"/>
        <v>1.6506611002889799E-3</v>
      </c>
      <c r="K32" s="445"/>
      <c r="L32" s="445"/>
      <c r="M32" s="455">
        <f t="shared" si="20"/>
        <v>0</v>
      </c>
      <c r="N32" s="455">
        <f t="shared" si="21"/>
        <v>0</v>
      </c>
      <c r="O32" s="455">
        <f t="shared" si="22"/>
        <v>1.320528880231184E-3</v>
      </c>
      <c r="P32" s="455">
        <f t="shared" si="23"/>
        <v>3.30132220057796E-4</v>
      </c>
      <c r="Q32" s="455">
        <f t="shared" si="24"/>
        <v>0</v>
      </c>
      <c r="R32" s="455">
        <f t="shared" si="25"/>
        <v>0</v>
      </c>
      <c r="S32" s="455">
        <f t="shared" si="26"/>
        <v>0</v>
      </c>
      <c r="T32" s="455">
        <f t="shared" si="27"/>
        <v>0</v>
      </c>
      <c r="U32" s="455">
        <f t="shared" si="28"/>
        <v>0</v>
      </c>
      <c r="V32" s="456"/>
      <c r="W32" s="457"/>
      <c r="X32" s="458">
        <f t="shared" si="17"/>
        <v>0</v>
      </c>
      <c r="Y32" s="459"/>
      <c r="Z32" s="459"/>
      <c r="AA32" s="459">
        <v>0.8</v>
      </c>
      <c r="AB32" s="459">
        <v>0.2</v>
      </c>
      <c r="AC32" s="459"/>
      <c r="AD32" s="459"/>
      <c r="AE32" s="459"/>
      <c r="AF32" s="459"/>
      <c r="AG32" s="459"/>
      <c r="AH32" s="435">
        <f t="shared" si="18"/>
        <v>1</v>
      </c>
    </row>
    <row r="33" spans="2:34" s="435" customFormat="1">
      <c r="B33" s="430" t="str">
        <f>+'Cómp. y Presup.'!B37</f>
        <v>z044</v>
      </c>
      <c r="C33" s="430" t="str">
        <f>+'Cómp. y Presup.'!C37</f>
        <v>TR020</v>
      </c>
      <c r="D33" s="448">
        <f t="shared" si="0"/>
        <v>4.4000000000000004</v>
      </c>
      <c r="E33" s="449" t="str">
        <f t="shared" si="1"/>
        <v>Capa Aisladora</v>
      </c>
      <c r="F33" s="450" t="str">
        <f t="shared" si="3"/>
        <v>m2</v>
      </c>
      <c r="G33" s="451">
        <f t="shared" si="4"/>
        <v>56.956000000000003</v>
      </c>
      <c r="H33" s="452">
        <f>+'Cómp. y Presup.'!H37</f>
        <v>147.74197886633002</v>
      </c>
      <c r="I33" s="453">
        <f t="shared" si="6"/>
        <v>8414.7921483106929</v>
      </c>
      <c r="J33" s="454">
        <f t="shared" si="7"/>
        <v>7.5395391680959723E-4</v>
      </c>
      <c r="K33" s="445"/>
      <c r="L33" s="445"/>
      <c r="M33" s="455">
        <f t="shared" si="20"/>
        <v>0</v>
      </c>
      <c r="N33" s="455">
        <f t="shared" si="21"/>
        <v>0</v>
      </c>
      <c r="O33" s="455">
        <f t="shared" si="22"/>
        <v>7.5395391680959723E-4</v>
      </c>
      <c r="P33" s="455">
        <f t="shared" si="23"/>
        <v>0</v>
      </c>
      <c r="Q33" s="455">
        <f t="shared" si="24"/>
        <v>0</v>
      </c>
      <c r="R33" s="455">
        <f t="shared" si="25"/>
        <v>0</v>
      </c>
      <c r="S33" s="455">
        <f t="shared" si="26"/>
        <v>0</v>
      </c>
      <c r="T33" s="455">
        <f t="shared" si="27"/>
        <v>0</v>
      </c>
      <c r="U33" s="455">
        <f t="shared" si="28"/>
        <v>0</v>
      </c>
      <c r="V33" s="456"/>
      <c r="W33" s="457"/>
      <c r="X33" s="458">
        <f t="shared" si="17"/>
        <v>0</v>
      </c>
      <c r="Y33" s="459"/>
      <c r="Z33" s="459"/>
      <c r="AA33" s="459">
        <v>1</v>
      </c>
      <c r="AB33" s="459"/>
      <c r="AC33" s="459"/>
      <c r="AD33" s="459"/>
      <c r="AE33" s="459"/>
      <c r="AF33" s="459"/>
      <c r="AG33" s="459"/>
      <c r="AH33" s="435">
        <f t="shared" si="18"/>
        <v>1</v>
      </c>
    </row>
    <row r="34" spans="2:34" s="435" customFormat="1">
      <c r="B34" s="430" t="str">
        <f>+'Cómp. y Presup.'!B38</f>
        <v>z045</v>
      </c>
      <c r="C34" s="430" t="str">
        <f>+'Cómp. y Presup.'!C38</f>
        <v>TR021</v>
      </c>
      <c r="D34" s="448">
        <f t="shared" si="0"/>
        <v>4.5</v>
      </c>
      <c r="E34" s="449" t="str">
        <f t="shared" si="1"/>
        <v>Tabiques divisorios en sanitarios</v>
      </c>
      <c r="F34" s="450" t="str">
        <f t="shared" si="3"/>
        <v>m2</v>
      </c>
      <c r="G34" s="451">
        <f t="shared" si="4"/>
        <v>15.280000000000001</v>
      </c>
      <c r="H34" s="452">
        <f>+'Cómp. y Presup.'!H38</f>
        <v>1192.4079730327376</v>
      </c>
      <c r="I34" s="453">
        <f t="shared" si="6"/>
        <v>18219.99382794023</v>
      </c>
      <c r="J34" s="454">
        <f t="shared" si="7"/>
        <v>1.6324866340970757E-3</v>
      </c>
      <c r="K34" s="445"/>
      <c r="L34" s="445"/>
      <c r="M34" s="455">
        <f t="shared" ref="M34:U34" si="29">+$J34*Y34</f>
        <v>0</v>
      </c>
      <c r="N34" s="455">
        <f t="shared" si="29"/>
        <v>0</v>
      </c>
      <c r="O34" s="455">
        <f t="shared" si="29"/>
        <v>0</v>
      </c>
      <c r="P34" s="455">
        <f t="shared" si="29"/>
        <v>0</v>
      </c>
      <c r="Q34" s="455">
        <f t="shared" si="29"/>
        <v>0</v>
      </c>
      <c r="R34" s="455">
        <f t="shared" si="29"/>
        <v>0</v>
      </c>
      <c r="S34" s="455">
        <f t="shared" si="29"/>
        <v>0</v>
      </c>
      <c r="T34" s="455">
        <f t="shared" si="29"/>
        <v>1.6324866340970757E-3</v>
      </c>
      <c r="U34" s="455">
        <f t="shared" si="29"/>
        <v>0</v>
      </c>
      <c r="V34" s="456"/>
      <c r="W34" s="457"/>
      <c r="X34" s="458">
        <f t="shared" si="17"/>
        <v>0</v>
      </c>
      <c r="Y34" s="459"/>
      <c r="Z34" s="459"/>
      <c r="AA34" s="459"/>
      <c r="AB34" s="459"/>
      <c r="AC34" s="459"/>
      <c r="AD34" s="459"/>
      <c r="AE34" s="459"/>
      <c r="AF34" s="459">
        <v>1</v>
      </c>
      <c r="AG34" s="459"/>
      <c r="AH34" s="435">
        <f t="shared" si="18"/>
        <v>1</v>
      </c>
    </row>
    <row r="35" spans="2:34" s="435" customFormat="1">
      <c r="B35" s="430" t="str">
        <f>+'Cómp. y Presup.'!B39</f>
        <v>z046</v>
      </c>
      <c r="C35" s="430" t="str">
        <f>+'Cómp. y Presup.'!C39</f>
        <v>TR022</v>
      </c>
      <c r="D35" s="448">
        <f t="shared" si="0"/>
        <v>4.5999999999999996</v>
      </c>
      <c r="E35" s="449" t="str">
        <f t="shared" si="1"/>
        <v>Tabiques de roca de yeso tipo Durlock</v>
      </c>
      <c r="F35" s="450" t="str">
        <f t="shared" si="3"/>
        <v>m2</v>
      </c>
      <c r="G35" s="451">
        <f t="shared" si="4"/>
        <v>45.6</v>
      </c>
      <c r="H35" s="452">
        <f>+'Cómp. y Presup.'!H39</f>
        <v>806.44081431273753</v>
      </c>
      <c r="I35" s="453">
        <f t="shared" si="6"/>
        <v>36773.701132660834</v>
      </c>
      <c r="J35" s="454">
        <f t="shared" si="7"/>
        <v>3.2948735412461983E-3</v>
      </c>
      <c r="K35" s="445"/>
      <c r="L35" s="445"/>
      <c r="M35" s="455">
        <f t="shared" ref="M35:M45" si="30">+$J35*Y35</f>
        <v>0</v>
      </c>
      <c r="N35" s="455">
        <f t="shared" ref="N35:N45" si="31">+$J35*Z35</f>
        <v>0</v>
      </c>
      <c r="O35" s="455">
        <f t="shared" ref="O35:O45" si="32">+$J35*AA35</f>
        <v>0</v>
      </c>
      <c r="P35" s="455">
        <f t="shared" ref="P35:P45" si="33">+$J35*AB35</f>
        <v>0</v>
      </c>
      <c r="Q35" s="455">
        <f t="shared" ref="Q35:Q45" si="34">+$J35*AC35</f>
        <v>0</v>
      </c>
      <c r="R35" s="455">
        <f t="shared" ref="R35:R45" si="35">+$J35*AD35</f>
        <v>0</v>
      </c>
      <c r="S35" s="455">
        <f t="shared" ref="S35:S45" si="36">+$J35*AE35</f>
        <v>0</v>
      </c>
      <c r="T35" s="455">
        <f t="shared" ref="T35:T45" si="37">+$J35*AF35</f>
        <v>3.2948735412461983E-3</v>
      </c>
      <c r="U35" s="455">
        <f t="shared" ref="U35:U45" si="38">+$J35*AG35</f>
        <v>0</v>
      </c>
      <c r="V35" s="456"/>
      <c r="W35" s="457"/>
      <c r="X35" s="458">
        <f t="shared" si="17"/>
        <v>0</v>
      </c>
      <c r="Y35" s="459"/>
      <c r="Z35" s="459"/>
      <c r="AA35" s="459"/>
      <c r="AB35" s="459"/>
      <c r="AC35" s="459"/>
      <c r="AD35" s="459"/>
      <c r="AE35" s="459"/>
      <c r="AF35" s="459">
        <v>1</v>
      </c>
      <c r="AG35" s="459"/>
      <c r="AH35" s="435">
        <f t="shared" si="18"/>
        <v>1</v>
      </c>
    </row>
    <row r="36" spans="2:34" s="435" customFormat="1">
      <c r="B36" s="430" t="str">
        <f>+'Cómp. y Presup.'!B40</f>
        <v>z047</v>
      </c>
      <c r="C36" s="430">
        <f>+'Cómp. y Presup.'!C40</f>
        <v>0</v>
      </c>
      <c r="D36" s="448" t="str">
        <f t="shared" si="0"/>
        <v>RUBRO V:</v>
      </c>
      <c r="E36" s="449" t="str">
        <f t="shared" si="1"/>
        <v>REVOQUES</v>
      </c>
      <c r="F36" s="466"/>
      <c r="G36" s="467"/>
      <c r="H36" s="468"/>
      <c r="I36" s="469"/>
      <c r="J36" s="470"/>
      <c r="K36" s="445"/>
      <c r="L36" s="445"/>
      <c r="M36" s="471"/>
      <c r="N36" s="472"/>
      <c r="O36" s="472"/>
      <c r="P36" s="472"/>
      <c r="Q36" s="472"/>
      <c r="R36" s="472"/>
      <c r="S36" s="472"/>
      <c r="T36" s="472"/>
      <c r="U36" s="473"/>
      <c r="V36" s="456"/>
      <c r="W36" s="457"/>
      <c r="X36" s="458"/>
      <c r="Y36" s="459"/>
      <c r="Z36" s="459"/>
      <c r="AA36" s="459"/>
      <c r="AB36" s="459"/>
      <c r="AC36" s="459"/>
      <c r="AD36" s="459"/>
      <c r="AE36" s="459"/>
      <c r="AF36" s="459"/>
      <c r="AG36" s="459"/>
    </row>
    <row r="37" spans="2:34" s="435" customFormat="1">
      <c r="B37" s="430" t="str">
        <f>+'Cómp. y Presup.'!B41</f>
        <v>z048</v>
      </c>
      <c r="C37" s="430" t="str">
        <f>+'Cómp. y Presup.'!C41</f>
        <v>TR023</v>
      </c>
      <c r="D37" s="448">
        <f t="shared" si="0"/>
        <v>5.0999999999999996</v>
      </c>
      <c r="E37" s="449" t="str">
        <f t="shared" si="1"/>
        <v>Grueso Interior/Exterior</v>
      </c>
      <c r="F37" s="450" t="str">
        <f t="shared" si="3"/>
        <v>m2</v>
      </c>
      <c r="G37" s="451">
        <f t="shared" si="4"/>
        <v>1139.6600000000001</v>
      </c>
      <c r="H37" s="452">
        <f>+'Cómp. y Presup.'!H41</f>
        <v>230.7119541592165</v>
      </c>
      <c r="I37" s="453">
        <f t="shared" si="6"/>
        <v>262933.1856770927</v>
      </c>
      <c r="J37" s="454">
        <f t="shared" si="7"/>
        <v>2.3558455361285018E-2</v>
      </c>
      <c r="K37" s="445"/>
      <c r="L37" s="445"/>
      <c r="M37" s="455">
        <f t="shared" si="30"/>
        <v>0</v>
      </c>
      <c r="N37" s="455">
        <f t="shared" si="31"/>
        <v>0</v>
      </c>
      <c r="O37" s="455">
        <f t="shared" si="32"/>
        <v>0</v>
      </c>
      <c r="P37" s="455">
        <f t="shared" si="33"/>
        <v>0</v>
      </c>
      <c r="Q37" s="455">
        <f t="shared" si="34"/>
        <v>0</v>
      </c>
      <c r="R37" s="455">
        <f t="shared" si="35"/>
        <v>1.1779227680642509E-2</v>
      </c>
      <c r="S37" s="455">
        <f t="shared" si="36"/>
        <v>1.1779227680642509E-2</v>
      </c>
      <c r="T37" s="455">
        <f t="shared" si="37"/>
        <v>0</v>
      </c>
      <c r="U37" s="455">
        <f t="shared" si="38"/>
        <v>0</v>
      </c>
      <c r="V37" s="456"/>
      <c r="W37" s="457"/>
      <c r="X37" s="458">
        <f t="shared" si="17"/>
        <v>0</v>
      </c>
      <c r="Y37" s="459"/>
      <c r="Z37" s="459"/>
      <c r="AA37" s="459"/>
      <c r="AB37" s="459"/>
      <c r="AC37" s="459"/>
      <c r="AD37" s="459">
        <v>0.5</v>
      </c>
      <c r="AE37" s="459">
        <v>0.5</v>
      </c>
      <c r="AF37" s="459"/>
      <c r="AG37" s="459"/>
      <c r="AH37" s="435">
        <f t="shared" ref="AH37:AH53" si="39">SUM(Y37:AG37)</f>
        <v>1</v>
      </c>
    </row>
    <row r="38" spans="2:34" s="435" customFormat="1">
      <c r="B38" s="430" t="str">
        <f>+'Cómp. y Presup.'!B42</f>
        <v>z049</v>
      </c>
      <c r="C38" s="430" t="str">
        <f>+'Cómp. y Presup.'!C42</f>
        <v>TR024</v>
      </c>
      <c r="D38" s="448">
        <f t="shared" si="0"/>
        <v>5.2</v>
      </c>
      <c r="E38" s="449" t="str">
        <f t="shared" si="1"/>
        <v>Enlucido a la cal Interior</v>
      </c>
      <c r="F38" s="450" t="str">
        <f t="shared" si="3"/>
        <v>m2</v>
      </c>
      <c r="G38" s="451">
        <f t="shared" si="4"/>
        <v>842.66000000000008</v>
      </c>
      <c r="H38" s="452">
        <f>+'Cómp. y Presup.'!H42</f>
        <v>169.34199981368684</v>
      </c>
      <c r="I38" s="453">
        <f>+H38*G38</f>
        <v>142697.72956300137</v>
      </c>
      <c r="J38" s="454">
        <f t="shared" si="7"/>
        <v>1.2785522236037667E-2</v>
      </c>
      <c r="K38" s="445"/>
      <c r="L38" s="445"/>
      <c r="M38" s="455">
        <f t="shared" si="30"/>
        <v>0</v>
      </c>
      <c r="N38" s="455">
        <f t="shared" si="31"/>
        <v>0</v>
      </c>
      <c r="O38" s="455">
        <f t="shared" si="32"/>
        <v>0</v>
      </c>
      <c r="P38" s="455">
        <f t="shared" si="33"/>
        <v>0</v>
      </c>
      <c r="Q38" s="455">
        <f t="shared" si="34"/>
        <v>0</v>
      </c>
      <c r="R38" s="455">
        <f t="shared" si="35"/>
        <v>0</v>
      </c>
      <c r="S38" s="455">
        <f t="shared" si="36"/>
        <v>1.2785522236037667E-2</v>
      </c>
      <c r="T38" s="455">
        <f t="shared" si="37"/>
        <v>0</v>
      </c>
      <c r="U38" s="455">
        <f t="shared" si="38"/>
        <v>0</v>
      </c>
      <c r="V38" s="456"/>
      <c r="W38" s="457"/>
      <c r="X38" s="458">
        <f t="shared" si="17"/>
        <v>0</v>
      </c>
      <c r="Y38" s="459"/>
      <c r="Z38" s="459"/>
      <c r="AA38" s="459"/>
      <c r="AB38" s="459"/>
      <c r="AC38" s="459"/>
      <c r="AD38" s="459"/>
      <c r="AE38" s="459">
        <v>1</v>
      </c>
      <c r="AF38" s="459"/>
      <c r="AG38" s="459"/>
      <c r="AH38" s="435">
        <f t="shared" si="39"/>
        <v>1</v>
      </c>
    </row>
    <row r="39" spans="2:34" s="435" customFormat="1">
      <c r="B39" s="430" t="str">
        <f>+'Cómp. y Presup.'!B43</f>
        <v>z050</v>
      </c>
      <c r="C39" s="430" t="str">
        <f>+'Cómp. y Presup.'!C43</f>
        <v>TR025</v>
      </c>
      <c r="D39" s="448">
        <f t="shared" si="0"/>
        <v>5.3</v>
      </c>
      <c r="E39" s="449" t="str">
        <f t="shared" si="1"/>
        <v>Grueso Interior bajo revestimiento</v>
      </c>
      <c r="F39" s="450" t="str">
        <f t="shared" si="3"/>
        <v>m2</v>
      </c>
      <c r="G39" s="451">
        <f t="shared" si="4"/>
        <v>158.34</v>
      </c>
      <c r="H39" s="452">
        <f>+'Cómp. y Presup.'!H43</f>
        <v>262.02210281266002</v>
      </c>
      <c r="I39" s="453">
        <f t="shared" si="6"/>
        <v>41488.579759356588</v>
      </c>
      <c r="J39" s="454">
        <f t="shared" si="7"/>
        <v>3.717320245243844E-3</v>
      </c>
      <c r="K39" s="445"/>
      <c r="L39" s="445"/>
      <c r="M39" s="455">
        <f t="shared" si="30"/>
        <v>0</v>
      </c>
      <c r="N39" s="455">
        <f t="shared" si="31"/>
        <v>0</v>
      </c>
      <c r="O39" s="455">
        <f t="shared" si="32"/>
        <v>0</v>
      </c>
      <c r="P39" s="455">
        <f t="shared" si="33"/>
        <v>0</v>
      </c>
      <c r="Q39" s="455">
        <f t="shared" si="34"/>
        <v>0</v>
      </c>
      <c r="R39" s="455">
        <f t="shared" si="35"/>
        <v>3.717320245243844E-3</v>
      </c>
      <c r="S39" s="455">
        <f t="shared" si="36"/>
        <v>0</v>
      </c>
      <c r="T39" s="455">
        <f t="shared" si="37"/>
        <v>0</v>
      </c>
      <c r="U39" s="455">
        <f t="shared" si="38"/>
        <v>0</v>
      </c>
      <c r="V39" s="456"/>
      <c r="W39" s="457"/>
      <c r="X39" s="458">
        <f t="shared" si="17"/>
        <v>0</v>
      </c>
      <c r="Y39" s="459"/>
      <c r="Z39" s="459"/>
      <c r="AA39" s="459"/>
      <c r="AB39" s="459"/>
      <c r="AC39" s="459"/>
      <c r="AD39" s="459">
        <v>1</v>
      </c>
      <c r="AE39" s="459"/>
      <c r="AF39" s="459"/>
      <c r="AG39" s="459"/>
      <c r="AH39" s="435">
        <f t="shared" si="39"/>
        <v>1</v>
      </c>
    </row>
    <row r="40" spans="2:34" s="435" customFormat="1">
      <c r="B40" s="430" t="str">
        <f>+'Cómp. y Presup.'!B44</f>
        <v>z051</v>
      </c>
      <c r="C40" s="430" t="str">
        <f>+'Cómp. y Presup.'!C44</f>
        <v>TR026</v>
      </c>
      <c r="D40" s="448">
        <f t="shared" si="0"/>
        <v>5.4</v>
      </c>
      <c r="E40" s="449" t="str">
        <f t="shared" si="1"/>
        <v>Salpicado cementicio terminacion planchada con llana</v>
      </c>
      <c r="F40" s="450" t="str">
        <f t="shared" si="3"/>
        <v>m2</v>
      </c>
      <c r="G40" s="451">
        <f t="shared" si="4"/>
        <v>297</v>
      </c>
      <c r="H40" s="452">
        <f>+'Cómp. y Presup.'!H44</f>
        <v>281.14206210836858</v>
      </c>
      <c r="I40" s="453">
        <f t="shared" si="6"/>
        <v>83499.192446185465</v>
      </c>
      <c r="J40" s="454">
        <f t="shared" si="7"/>
        <v>7.4814139298590128E-3</v>
      </c>
      <c r="K40" s="445"/>
      <c r="L40" s="445"/>
      <c r="M40" s="455">
        <f t="shared" si="30"/>
        <v>0</v>
      </c>
      <c r="N40" s="455">
        <f t="shared" si="31"/>
        <v>0</v>
      </c>
      <c r="O40" s="455">
        <f t="shared" si="32"/>
        <v>0</v>
      </c>
      <c r="P40" s="455">
        <f t="shared" si="33"/>
        <v>0</v>
      </c>
      <c r="Q40" s="455">
        <f t="shared" si="34"/>
        <v>0</v>
      </c>
      <c r="R40" s="455">
        <f t="shared" si="35"/>
        <v>0</v>
      </c>
      <c r="S40" s="455">
        <f t="shared" si="36"/>
        <v>0</v>
      </c>
      <c r="T40" s="455">
        <f t="shared" si="37"/>
        <v>3.7407069649295064E-3</v>
      </c>
      <c r="U40" s="455">
        <f t="shared" si="38"/>
        <v>3.7407069649295064E-3</v>
      </c>
      <c r="V40" s="456"/>
      <c r="W40" s="457"/>
      <c r="X40" s="458">
        <f t="shared" si="17"/>
        <v>0</v>
      </c>
      <c r="Y40" s="459"/>
      <c r="Z40" s="459"/>
      <c r="AA40" s="459"/>
      <c r="AB40" s="459"/>
      <c r="AC40" s="459"/>
      <c r="AD40" s="459"/>
      <c r="AE40" s="459"/>
      <c r="AF40" s="459">
        <v>0.5</v>
      </c>
      <c r="AG40" s="459">
        <v>0.5</v>
      </c>
      <c r="AH40" s="435">
        <f t="shared" si="39"/>
        <v>1</v>
      </c>
    </row>
    <row r="41" spans="2:34" s="435" customFormat="1">
      <c r="B41" s="430" t="str">
        <f>+'Cómp. y Presup.'!B45</f>
        <v>z052</v>
      </c>
      <c r="C41" s="430">
        <f>+'Cómp. y Presup.'!C45</f>
        <v>0</v>
      </c>
      <c r="D41" s="448" t="str">
        <f t="shared" si="0"/>
        <v>RUBRO VI:</v>
      </c>
      <c r="E41" s="449" t="str">
        <f t="shared" si="1"/>
        <v>CIELORRASOS</v>
      </c>
      <c r="F41" s="480"/>
      <c r="G41" s="481"/>
      <c r="H41" s="482"/>
      <c r="I41" s="483"/>
      <c r="J41" s="484"/>
      <c r="K41" s="445"/>
      <c r="L41" s="445"/>
      <c r="M41" s="485"/>
      <c r="N41" s="486"/>
      <c r="O41" s="486"/>
      <c r="P41" s="486"/>
      <c r="Q41" s="486"/>
      <c r="R41" s="486"/>
      <c r="S41" s="486"/>
      <c r="T41" s="486"/>
      <c r="U41" s="487"/>
      <c r="V41" s="456"/>
      <c r="W41" s="457"/>
      <c r="X41" s="458">
        <f t="shared" si="17"/>
        <v>0</v>
      </c>
      <c r="Y41" s="459"/>
      <c r="Z41" s="459"/>
      <c r="AA41" s="459"/>
      <c r="AB41" s="459"/>
      <c r="AC41" s="459"/>
      <c r="AD41" s="459"/>
      <c r="AE41" s="459"/>
      <c r="AF41" s="459"/>
      <c r="AG41" s="459"/>
      <c r="AH41" s="435">
        <f t="shared" si="39"/>
        <v>0</v>
      </c>
    </row>
    <row r="42" spans="2:34" s="435" customFormat="1">
      <c r="B42" s="430" t="str">
        <f>+'Cómp. y Presup.'!B46</f>
        <v>z053</v>
      </c>
      <c r="C42" s="430">
        <f>+'Cómp. y Presup.'!C46</f>
        <v>0</v>
      </c>
      <c r="D42" s="448" t="str">
        <f t="shared" si="0"/>
        <v>RUBRO VII:</v>
      </c>
      <c r="E42" s="449" t="str">
        <f t="shared" si="1"/>
        <v>CONTRAPISOS, CARPETAS, PISOS, UMBRALES y ZÓCALOS,</v>
      </c>
      <c r="F42" s="488"/>
      <c r="G42" s="489"/>
      <c r="H42" s="490"/>
      <c r="I42" s="491"/>
      <c r="J42" s="492"/>
      <c r="K42" s="445"/>
      <c r="L42" s="445"/>
      <c r="M42" s="493"/>
      <c r="N42" s="494"/>
      <c r="O42" s="494"/>
      <c r="P42" s="494"/>
      <c r="Q42" s="494"/>
      <c r="R42" s="494"/>
      <c r="S42" s="494"/>
      <c r="T42" s="494"/>
      <c r="U42" s="495"/>
      <c r="V42" s="456"/>
      <c r="W42" s="457"/>
      <c r="X42" s="458">
        <f t="shared" si="17"/>
        <v>0</v>
      </c>
      <c r="Y42" s="459"/>
      <c r="Z42" s="459"/>
      <c r="AA42" s="459"/>
      <c r="AB42" s="459"/>
      <c r="AC42" s="459"/>
      <c r="AD42" s="459"/>
      <c r="AE42" s="459"/>
      <c r="AF42" s="459"/>
      <c r="AG42" s="459"/>
      <c r="AH42" s="435">
        <f t="shared" si="39"/>
        <v>0</v>
      </c>
    </row>
    <row r="43" spans="2:34" s="435" customFormat="1">
      <c r="B43" s="430" t="str">
        <f>+'Cómp. y Presup.'!B47</f>
        <v>z054</v>
      </c>
      <c r="C43" s="430" t="str">
        <f>+'Cómp. y Presup.'!C47</f>
        <v>TR027</v>
      </c>
      <c r="D43" s="448">
        <f t="shared" si="0"/>
        <v>7.1</v>
      </c>
      <c r="E43" s="449" t="str">
        <f t="shared" si="1"/>
        <v>De Hº Alivianado con Membrana Asfáltica  (Completa)</v>
      </c>
      <c r="F43" s="450" t="str">
        <f t="shared" si="3"/>
        <v>m2</v>
      </c>
      <c r="G43" s="451">
        <f t="shared" si="4"/>
        <v>654</v>
      </c>
      <c r="H43" s="452">
        <f>+'Cómp. y Presup.'!H47</f>
        <v>697.58830849234596</v>
      </c>
      <c r="I43" s="453">
        <f t="shared" si="6"/>
        <v>456222.75375399424</v>
      </c>
      <c r="J43" s="454">
        <f t="shared" si="7"/>
        <v>4.0876937429706814E-2</v>
      </c>
      <c r="K43" s="445"/>
      <c r="L43" s="445"/>
      <c r="M43" s="455">
        <f t="shared" si="30"/>
        <v>0</v>
      </c>
      <c r="N43" s="455">
        <f t="shared" si="31"/>
        <v>0</v>
      </c>
      <c r="O43" s="455">
        <f t="shared" si="32"/>
        <v>0</v>
      </c>
      <c r="P43" s="455">
        <f t="shared" si="33"/>
        <v>0</v>
      </c>
      <c r="Q43" s="455">
        <f t="shared" si="34"/>
        <v>0</v>
      </c>
      <c r="R43" s="455">
        <f t="shared" si="35"/>
        <v>4.0876937429706814E-2</v>
      </c>
      <c r="S43" s="455">
        <f t="shared" si="36"/>
        <v>0</v>
      </c>
      <c r="T43" s="455">
        <f t="shared" si="37"/>
        <v>0</v>
      </c>
      <c r="U43" s="455">
        <f t="shared" si="38"/>
        <v>0</v>
      </c>
      <c r="V43" s="456"/>
      <c r="W43" s="457"/>
      <c r="X43" s="458">
        <f t="shared" si="17"/>
        <v>0</v>
      </c>
      <c r="Y43" s="459"/>
      <c r="Z43" s="459"/>
      <c r="AA43" s="459"/>
      <c r="AB43" s="459"/>
      <c r="AC43" s="459"/>
      <c r="AD43" s="459">
        <v>1</v>
      </c>
      <c r="AE43" s="459"/>
      <c r="AF43" s="459"/>
      <c r="AG43" s="459"/>
      <c r="AH43" s="435">
        <f t="shared" si="39"/>
        <v>1</v>
      </c>
    </row>
    <row r="44" spans="2:34" s="435" customFormat="1">
      <c r="B44" s="430" t="str">
        <f>+'Cómp. y Presup.'!B48</f>
        <v>z055</v>
      </c>
      <c r="C44" s="430" t="str">
        <f>+'Cómp. y Presup.'!C48</f>
        <v>TR028</v>
      </c>
      <c r="D44" s="448">
        <f t="shared" si="0"/>
        <v>7.2</v>
      </c>
      <c r="E44" s="449" t="str">
        <f t="shared" si="1"/>
        <v>Contrapiso Común Bajo Piso  (-e- 8cm.)</v>
      </c>
      <c r="F44" s="450" t="str">
        <f t="shared" si="3"/>
        <v>m2</v>
      </c>
      <c r="G44" s="451">
        <f t="shared" si="4"/>
        <v>557</v>
      </c>
      <c r="H44" s="452">
        <f>+'Cómp. y Presup.'!H48</f>
        <v>679.06961674128831</v>
      </c>
      <c r="I44" s="453">
        <f t="shared" si="6"/>
        <v>378241.77652489761</v>
      </c>
      <c r="J44" s="454">
        <f t="shared" si="7"/>
        <v>3.3889948068321268E-2</v>
      </c>
      <c r="K44" s="445"/>
      <c r="L44" s="445"/>
      <c r="M44" s="455">
        <f t="shared" si="30"/>
        <v>0</v>
      </c>
      <c r="N44" s="455">
        <f t="shared" si="31"/>
        <v>3.3889948068321268E-2</v>
      </c>
      <c r="O44" s="455">
        <f t="shared" si="32"/>
        <v>0</v>
      </c>
      <c r="P44" s="455">
        <f t="shared" si="33"/>
        <v>0</v>
      </c>
      <c r="Q44" s="455">
        <f t="shared" si="34"/>
        <v>0</v>
      </c>
      <c r="R44" s="455">
        <f t="shared" si="35"/>
        <v>0</v>
      </c>
      <c r="S44" s="455">
        <f t="shared" si="36"/>
        <v>0</v>
      </c>
      <c r="T44" s="455">
        <f t="shared" si="37"/>
        <v>0</v>
      </c>
      <c r="U44" s="455">
        <f t="shared" si="38"/>
        <v>0</v>
      </c>
      <c r="V44" s="456"/>
      <c r="W44" s="457"/>
      <c r="X44" s="458">
        <f t="shared" si="17"/>
        <v>0</v>
      </c>
      <c r="Y44" s="459"/>
      <c r="Z44" s="459">
        <v>1</v>
      </c>
      <c r="AA44" s="459"/>
      <c r="AB44" s="459"/>
      <c r="AC44" s="459"/>
      <c r="AD44" s="459"/>
      <c r="AE44" s="459"/>
      <c r="AF44" s="459"/>
      <c r="AG44" s="459"/>
      <c r="AH44" s="435">
        <f t="shared" si="39"/>
        <v>1</v>
      </c>
    </row>
    <row r="45" spans="2:34" s="435" customFormat="1">
      <c r="B45" s="430" t="str">
        <f>+'Cómp. y Presup.'!B49</f>
        <v>z056</v>
      </c>
      <c r="C45" s="430" t="str">
        <f>+'Cómp. y Presup.'!C49</f>
        <v>TR029</v>
      </c>
      <c r="D45" s="448">
        <f t="shared" si="0"/>
        <v>7.3</v>
      </c>
      <c r="E45" s="449" t="str">
        <f t="shared" si="1"/>
        <v>Carpeta de Asiento bajo Cerámico</v>
      </c>
      <c r="F45" s="450" t="str">
        <f t="shared" si="3"/>
        <v>m2</v>
      </c>
      <c r="G45" s="451">
        <f t="shared" si="4"/>
        <v>151</v>
      </c>
      <c r="H45" s="452">
        <f>+'Cómp. y Presup.'!H49</f>
        <v>215.06744026211103</v>
      </c>
      <c r="I45" s="453">
        <f t="shared" si="6"/>
        <v>32475.183479578765</v>
      </c>
      <c r="J45" s="454">
        <f t="shared" si="7"/>
        <v>2.9097322134634266E-3</v>
      </c>
      <c r="K45" s="445"/>
      <c r="L45" s="445"/>
      <c r="M45" s="455">
        <f t="shared" si="30"/>
        <v>0</v>
      </c>
      <c r="N45" s="455">
        <f t="shared" si="31"/>
        <v>0</v>
      </c>
      <c r="O45" s="455">
        <f t="shared" si="32"/>
        <v>0</v>
      </c>
      <c r="P45" s="455">
        <f t="shared" si="33"/>
        <v>0</v>
      </c>
      <c r="Q45" s="455">
        <f t="shared" si="34"/>
        <v>0</v>
      </c>
      <c r="R45" s="455">
        <f t="shared" si="35"/>
        <v>2.9097322134634266E-3</v>
      </c>
      <c r="S45" s="455">
        <f t="shared" si="36"/>
        <v>0</v>
      </c>
      <c r="T45" s="455">
        <f t="shared" si="37"/>
        <v>0</v>
      </c>
      <c r="U45" s="455">
        <f t="shared" si="38"/>
        <v>0</v>
      </c>
      <c r="V45" s="456"/>
      <c r="W45" s="457"/>
      <c r="X45" s="458">
        <f t="shared" si="17"/>
        <v>0</v>
      </c>
      <c r="Y45" s="459"/>
      <c r="Z45" s="459"/>
      <c r="AA45" s="459"/>
      <c r="AB45" s="459"/>
      <c r="AC45" s="459"/>
      <c r="AD45" s="459">
        <v>1</v>
      </c>
      <c r="AE45" s="459"/>
      <c r="AF45" s="459"/>
      <c r="AG45" s="459"/>
      <c r="AH45" s="435">
        <f t="shared" si="39"/>
        <v>1</v>
      </c>
    </row>
    <row r="46" spans="2:34" s="435" customFormat="1">
      <c r="B46" s="430" t="str">
        <f>+'Cómp. y Presup.'!B50</f>
        <v>z057</v>
      </c>
      <c r="C46" s="430" t="str">
        <f>+'Cómp. y Presup.'!C50</f>
        <v>TR030</v>
      </c>
      <c r="D46" s="448">
        <f t="shared" si="0"/>
        <v>7.4</v>
      </c>
      <c r="E46" s="449" t="str">
        <f t="shared" si="1"/>
        <v>Piso Industrialde Hormigon Llaneado c/endurecedor c/fibra de nylon</v>
      </c>
      <c r="F46" s="450" t="str">
        <f t="shared" si="3"/>
        <v>m2</v>
      </c>
      <c r="G46" s="451">
        <f t="shared" si="4"/>
        <v>557</v>
      </c>
      <c r="H46" s="452">
        <f>+'Cómp. y Presup.'!H50</f>
        <v>752.86570124301898</v>
      </c>
      <c r="I46" s="453">
        <f t="shared" si="6"/>
        <v>419346.19559236156</v>
      </c>
      <c r="J46" s="454">
        <f>+I46/$I$97</f>
        <v>3.757284803874051E-2</v>
      </c>
      <c r="K46" s="445"/>
      <c r="L46" s="445"/>
      <c r="M46" s="455">
        <f t="shared" ref="M46:U46" si="40">+$J46*Y46</f>
        <v>0</v>
      </c>
      <c r="N46" s="455">
        <f t="shared" si="40"/>
        <v>0</v>
      </c>
      <c r="O46" s="455">
        <f t="shared" si="40"/>
        <v>0</v>
      </c>
      <c r="P46" s="455">
        <f t="shared" si="40"/>
        <v>0</v>
      </c>
      <c r="Q46" s="455">
        <f t="shared" si="40"/>
        <v>0</v>
      </c>
      <c r="R46" s="455">
        <f t="shared" si="40"/>
        <v>0</v>
      </c>
      <c r="S46" s="455">
        <f t="shared" si="40"/>
        <v>1.8786424019370255E-2</v>
      </c>
      <c r="T46" s="455">
        <f t="shared" si="40"/>
        <v>1.8786424019370255E-2</v>
      </c>
      <c r="U46" s="455">
        <f t="shared" si="40"/>
        <v>0</v>
      </c>
      <c r="V46" s="456"/>
      <c r="W46" s="457"/>
      <c r="X46" s="458">
        <f t="shared" si="17"/>
        <v>0</v>
      </c>
      <c r="Y46" s="459"/>
      <c r="Z46" s="459"/>
      <c r="AA46" s="459"/>
      <c r="AB46" s="459"/>
      <c r="AC46" s="459"/>
      <c r="AD46" s="459"/>
      <c r="AE46" s="459">
        <v>0.5</v>
      </c>
      <c r="AF46" s="459">
        <v>0.5</v>
      </c>
      <c r="AG46" s="459"/>
      <c r="AH46" s="435">
        <f t="shared" si="39"/>
        <v>1</v>
      </c>
    </row>
    <row r="47" spans="2:34" s="435" customFormat="1">
      <c r="B47" s="430" t="str">
        <f>+'Cómp. y Presup.'!B51</f>
        <v>z058</v>
      </c>
      <c r="C47" s="430" t="str">
        <f>+'Cómp. y Presup.'!C51</f>
        <v>TR031</v>
      </c>
      <c r="D47" s="448">
        <f t="shared" si="0"/>
        <v>7.5</v>
      </c>
      <c r="E47" s="449" t="str">
        <f t="shared" si="1"/>
        <v>De Cerámico 20 x 20 p/ sanitarios</v>
      </c>
      <c r="F47" s="450" t="str">
        <f t="shared" si="3"/>
        <v>m2</v>
      </c>
      <c r="G47" s="451">
        <f t="shared" si="4"/>
        <v>151</v>
      </c>
      <c r="H47" s="452">
        <f>+'Cómp. y Presup.'!H51</f>
        <v>501.77925935613848</v>
      </c>
      <c r="I47" s="453">
        <f>+H47*G47</f>
        <v>75768.668162776914</v>
      </c>
      <c r="J47" s="454">
        <f t="shared" si="7"/>
        <v>6.788769481874915E-3</v>
      </c>
      <c r="K47" s="445"/>
      <c r="L47" s="445"/>
      <c r="M47" s="455">
        <f t="shared" ref="M47:M52" si="41">+$J47*Y47</f>
        <v>0</v>
      </c>
      <c r="N47" s="455">
        <f t="shared" ref="N47:N52" si="42">+$J47*Z47</f>
        <v>0</v>
      </c>
      <c r="O47" s="455">
        <f t="shared" ref="O47:O52" si="43">+$J47*AA47</f>
        <v>0</v>
      </c>
      <c r="P47" s="455">
        <f t="shared" ref="P47:P52" si="44">+$J47*AB47</f>
        <v>0</v>
      </c>
      <c r="Q47" s="455">
        <f t="shared" ref="Q47:Q52" si="45">+$J47*AC47</f>
        <v>0</v>
      </c>
      <c r="R47" s="455">
        <f t="shared" ref="R47:R52" si="46">+$J47*AD47</f>
        <v>0</v>
      </c>
      <c r="S47" s="455">
        <f t="shared" ref="S47:S52" si="47">+$J47*AE47</f>
        <v>0</v>
      </c>
      <c r="T47" s="455">
        <f t="shared" ref="T47:T52" si="48">+$J47*AF47</f>
        <v>6.788769481874915E-3</v>
      </c>
      <c r="U47" s="455">
        <f t="shared" ref="U47:U52" si="49">+$J47*AG47</f>
        <v>0</v>
      </c>
      <c r="V47" s="456"/>
      <c r="W47" s="457"/>
      <c r="X47" s="458">
        <f t="shared" si="17"/>
        <v>0</v>
      </c>
      <c r="Y47" s="459"/>
      <c r="Z47" s="459"/>
      <c r="AA47" s="459"/>
      <c r="AB47" s="459"/>
      <c r="AC47" s="459"/>
      <c r="AD47" s="459"/>
      <c r="AE47" s="459"/>
      <c r="AF47" s="459">
        <v>1</v>
      </c>
      <c r="AG47" s="459"/>
      <c r="AH47" s="435">
        <f t="shared" si="39"/>
        <v>1</v>
      </c>
    </row>
    <row r="48" spans="2:34" s="435" customFormat="1">
      <c r="B48" s="430" t="str">
        <f>+'Cómp. y Presup.'!B52</f>
        <v>z059</v>
      </c>
      <c r="C48" s="430" t="str">
        <f>+'Cómp. y Presup.'!C52</f>
        <v>TR032</v>
      </c>
      <c r="D48" s="448">
        <f t="shared" si="0"/>
        <v>7.6</v>
      </c>
      <c r="E48" s="449" t="str">
        <f t="shared" si="1"/>
        <v>De Hormigón Alisado terminado al frataz en vereda perimetral</v>
      </c>
      <c r="F48" s="450" t="str">
        <f t="shared" si="3"/>
        <v>m2</v>
      </c>
      <c r="G48" s="451">
        <f t="shared" si="4"/>
        <v>292</v>
      </c>
      <c r="H48" s="452">
        <f>+'Cómp. y Presup.'!H52</f>
        <v>595.89029714767412</v>
      </c>
      <c r="I48" s="453">
        <f t="shared" si="6"/>
        <v>173999.96676712084</v>
      </c>
      <c r="J48" s="454">
        <f t="shared" si="7"/>
        <v>1.5590160060596041E-2</v>
      </c>
      <c r="K48" s="445"/>
      <c r="L48" s="445"/>
      <c r="M48" s="455">
        <f t="shared" si="41"/>
        <v>0</v>
      </c>
      <c r="N48" s="455">
        <f t="shared" si="42"/>
        <v>0</v>
      </c>
      <c r="O48" s="455">
        <f t="shared" si="43"/>
        <v>0</v>
      </c>
      <c r="P48" s="455">
        <f t="shared" si="44"/>
        <v>0</v>
      </c>
      <c r="Q48" s="455">
        <f t="shared" si="45"/>
        <v>0</v>
      </c>
      <c r="R48" s="455">
        <f t="shared" si="46"/>
        <v>0</v>
      </c>
      <c r="S48" s="455">
        <f t="shared" si="47"/>
        <v>0</v>
      </c>
      <c r="T48" s="455">
        <f t="shared" si="48"/>
        <v>1.2472128048476833E-2</v>
      </c>
      <c r="U48" s="455">
        <f t="shared" si="49"/>
        <v>3.1180320121192082E-3</v>
      </c>
      <c r="V48" s="456"/>
      <c r="W48" s="457"/>
      <c r="X48" s="458">
        <f t="shared" si="17"/>
        <v>0</v>
      </c>
      <c r="Y48" s="459"/>
      <c r="Z48" s="459"/>
      <c r="AA48" s="459"/>
      <c r="AB48" s="459"/>
      <c r="AC48" s="459"/>
      <c r="AD48" s="459"/>
      <c r="AE48" s="459"/>
      <c r="AF48" s="459">
        <v>0.8</v>
      </c>
      <c r="AG48" s="459">
        <v>0.2</v>
      </c>
      <c r="AH48" s="435">
        <f t="shared" si="39"/>
        <v>1</v>
      </c>
    </row>
    <row r="49" spans="2:34" s="435" customFormat="1">
      <c r="B49" s="430" t="str">
        <f>+'Cómp. y Presup.'!B53</f>
        <v>z060</v>
      </c>
      <c r="C49" s="430" t="str">
        <f>+'Cómp. y Presup.'!C53</f>
        <v>TR033</v>
      </c>
      <c r="D49" s="448">
        <f t="shared" si="0"/>
        <v>7.7</v>
      </c>
      <c r="E49" s="449" t="str">
        <f t="shared" si="1"/>
        <v>Zócalo Porcellanatto h: 10 cm color a definir</v>
      </c>
      <c r="F49" s="450" t="str">
        <f t="shared" si="3"/>
        <v>m2</v>
      </c>
      <c r="G49" s="451">
        <f t="shared" si="4"/>
        <v>33.049999999999997</v>
      </c>
      <c r="H49" s="452">
        <f>+'Cómp. y Presup.'!H53</f>
        <v>589.07933472364994</v>
      </c>
      <c r="I49" s="453">
        <f t="shared" si="6"/>
        <v>19469.072012616627</v>
      </c>
      <c r="J49" s="454">
        <f t="shared" si="7"/>
        <v>1.7444023383877932E-3</v>
      </c>
      <c r="K49" s="445"/>
      <c r="L49" s="445"/>
      <c r="M49" s="455">
        <f t="shared" si="41"/>
        <v>0</v>
      </c>
      <c r="N49" s="455">
        <f t="shared" si="42"/>
        <v>0</v>
      </c>
      <c r="O49" s="455">
        <f t="shared" si="43"/>
        <v>0</v>
      </c>
      <c r="P49" s="455">
        <f t="shared" si="44"/>
        <v>0</v>
      </c>
      <c r="Q49" s="455">
        <f t="shared" si="45"/>
        <v>0</v>
      </c>
      <c r="R49" s="455">
        <f t="shared" si="46"/>
        <v>0</v>
      </c>
      <c r="S49" s="455">
        <f t="shared" si="47"/>
        <v>0</v>
      </c>
      <c r="T49" s="455">
        <f t="shared" si="48"/>
        <v>0</v>
      </c>
      <c r="U49" s="455">
        <f t="shared" si="49"/>
        <v>1.7444023383877932E-3</v>
      </c>
      <c r="V49" s="456"/>
      <c r="W49" s="457"/>
      <c r="X49" s="458">
        <f t="shared" si="17"/>
        <v>0</v>
      </c>
      <c r="Y49" s="459"/>
      <c r="Z49" s="459"/>
      <c r="AA49" s="459"/>
      <c r="AB49" s="459"/>
      <c r="AC49" s="459"/>
      <c r="AD49" s="459"/>
      <c r="AE49" s="459"/>
      <c r="AF49" s="459"/>
      <c r="AG49" s="459">
        <v>1</v>
      </c>
      <c r="AH49" s="435">
        <f t="shared" si="39"/>
        <v>1</v>
      </c>
    </row>
    <row r="50" spans="2:34" s="435" customFormat="1">
      <c r="B50" s="430" t="str">
        <f>+'Cómp. y Presup.'!B54</f>
        <v>z061</v>
      </c>
      <c r="C50" s="430">
        <f>+'Cómp. y Presup.'!C54</f>
        <v>0</v>
      </c>
      <c r="D50" s="448" t="str">
        <f t="shared" si="0"/>
        <v>RUBRO VIII:</v>
      </c>
      <c r="E50" s="449" t="str">
        <f t="shared" si="1"/>
        <v>REVESTIMIENTOS</v>
      </c>
      <c r="F50" s="466"/>
      <c r="G50" s="467"/>
      <c r="H50" s="468"/>
      <c r="I50" s="469"/>
      <c r="J50" s="470"/>
      <c r="K50" s="445"/>
      <c r="L50" s="445"/>
      <c r="M50" s="471"/>
      <c r="N50" s="472"/>
      <c r="O50" s="472"/>
      <c r="P50" s="472"/>
      <c r="Q50" s="472"/>
      <c r="R50" s="472"/>
      <c r="S50" s="472"/>
      <c r="T50" s="472"/>
      <c r="U50" s="473"/>
      <c r="V50" s="456"/>
      <c r="W50" s="457"/>
      <c r="X50" s="458">
        <f t="shared" si="17"/>
        <v>0</v>
      </c>
      <c r="Y50" s="459"/>
      <c r="Z50" s="459"/>
      <c r="AA50" s="459"/>
      <c r="AB50" s="459"/>
      <c r="AC50" s="459"/>
      <c r="AD50" s="459"/>
      <c r="AE50" s="459"/>
      <c r="AF50" s="459"/>
      <c r="AG50" s="459"/>
      <c r="AH50" s="435">
        <f t="shared" si="39"/>
        <v>0</v>
      </c>
    </row>
    <row r="51" spans="2:34" s="435" customFormat="1">
      <c r="B51" s="430" t="str">
        <f>+'Cómp. y Presup.'!B55</f>
        <v>z062</v>
      </c>
      <c r="C51" s="430" t="str">
        <f>+'Cómp. y Presup.'!C55</f>
        <v>TR034</v>
      </c>
      <c r="D51" s="448">
        <f t="shared" si="0"/>
        <v>8.1</v>
      </c>
      <c r="E51" s="449" t="str">
        <f t="shared" si="1"/>
        <v>Ceramico</v>
      </c>
      <c r="F51" s="450" t="str">
        <f t="shared" si="3"/>
        <v>m2</v>
      </c>
      <c r="G51" s="451">
        <f t="shared" si="4"/>
        <v>151</v>
      </c>
      <c r="H51" s="452">
        <f>+'Cómp. y Presup.'!H55</f>
        <v>474.67491516269496</v>
      </c>
      <c r="I51" s="453">
        <f t="shared" si="6"/>
        <v>71675.912189566938</v>
      </c>
      <c r="J51" s="454">
        <f t="shared" si="7"/>
        <v>6.4220641203922768E-3</v>
      </c>
      <c r="K51" s="445"/>
      <c r="L51" s="445"/>
      <c r="M51" s="455">
        <f t="shared" si="41"/>
        <v>0</v>
      </c>
      <c r="N51" s="455">
        <f t="shared" si="42"/>
        <v>0</v>
      </c>
      <c r="O51" s="455">
        <f t="shared" si="43"/>
        <v>0</v>
      </c>
      <c r="P51" s="455">
        <f t="shared" si="44"/>
        <v>0</v>
      </c>
      <c r="Q51" s="455">
        <f t="shared" si="45"/>
        <v>0</v>
      </c>
      <c r="R51" s="455">
        <f t="shared" si="46"/>
        <v>0</v>
      </c>
      <c r="S51" s="455">
        <f t="shared" si="47"/>
        <v>0</v>
      </c>
      <c r="T51" s="455">
        <f t="shared" si="48"/>
        <v>0</v>
      </c>
      <c r="U51" s="455">
        <f t="shared" si="49"/>
        <v>6.4220641203922768E-3</v>
      </c>
      <c r="V51" s="456"/>
      <c r="W51" s="457"/>
      <c r="X51" s="458">
        <f t="shared" si="17"/>
        <v>0</v>
      </c>
      <c r="Y51" s="459"/>
      <c r="Z51" s="459"/>
      <c r="AA51" s="459"/>
      <c r="AB51" s="459"/>
      <c r="AC51" s="459"/>
      <c r="AD51" s="459"/>
      <c r="AE51" s="459"/>
      <c r="AF51" s="459"/>
      <c r="AG51" s="459">
        <v>1</v>
      </c>
      <c r="AH51" s="435">
        <f t="shared" si="39"/>
        <v>1</v>
      </c>
    </row>
    <row r="52" spans="2:34" s="435" customFormat="1">
      <c r="B52" s="430" t="str">
        <f>+'Cómp. y Presup.'!B56</f>
        <v>z063</v>
      </c>
      <c r="C52" s="430" t="str">
        <f>+'Cómp. y Presup.'!C56</f>
        <v>TR000</v>
      </c>
      <c r="D52" s="448" t="str">
        <f t="shared" si="0"/>
        <v>RUBRO IX:</v>
      </c>
      <c r="E52" s="449" t="str">
        <f t="shared" si="1"/>
        <v>MESADAS, MARMOLERÍA</v>
      </c>
      <c r="F52" s="466"/>
      <c r="G52" s="467"/>
      <c r="H52" s="468"/>
      <c r="I52" s="469"/>
      <c r="J52" s="470">
        <f t="shared" si="7"/>
        <v>0</v>
      </c>
      <c r="K52" s="445"/>
      <c r="L52" s="445"/>
      <c r="M52" s="455">
        <f t="shared" si="41"/>
        <v>0</v>
      </c>
      <c r="N52" s="455">
        <f t="shared" si="42"/>
        <v>0</v>
      </c>
      <c r="O52" s="455">
        <f t="shared" si="43"/>
        <v>0</v>
      </c>
      <c r="P52" s="455">
        <f t="shared" si="44"/>
        <v>0</v>
      </c>
      <c r="Q52" s="455">
        <f t="shared" si="45"/>
        <v>0</v>
      </c>
      <c r="R52" s="455">
        <f t="shared" si="46"/>
        <v>0</v>
      </c>
      <c r="S52" s="455">
        <f t="shared" si="47"/>
        <v>0</v>
      </c>
      <c r="T52" s="455">
        <f t="shared" si="48"/>
        <v>0</v>
      </c>
      <c r="U52" s="455">
        <f t="shared" si="49"/>
        <v>0</v>
      </c>
      <c r="V52" s="456"/>
      <c r="W52" s="457"/>
      <c r="X52" s="458">
        <f t="shared" si="17"/>
        <v>0</v>
      </c>
      <c r="Y52" s="459"/>
      <c r="Z52" s="459"/>
      <c r="AA52" s="459"/>
      <c r="AB52" s="459"/>
      <c r="AC52" s="459"/>
      <c r="AD52" s="459"/>
      <c r="AE52" s="459"/>
      <c r="AF52" s="459"/>
      <c r="AG52" s="459">
        <v>1</v>
      </c>
      <c r="AH52" s="435">
        <f t="shared" si="39"/>
        <v>1</v>
      </c>
    </row>
    <row r="53" spans="2:34" s="435" customFormat="1">
      <c r="B53" s="430" t="str">
        <f>+'Cómp. y Presup.'!B57</f>
        <v>z064</v>
      </c>
      <c r="C53" s="430" t="str">
        <f>+'Cómp. y Presup.'!C57</f>
        <v>TR035</v>
      </c>
      <c r="D53" s="448">
        <f t="shared" si="0"/>
        <v>9.1</v>
      </c>
      <c r="E53" s="449" t="str">
        <f t="shared" si="1"/>
        <v>Mesadas Baños (2,20 x 0,60)</v>
      </c>
      <c r="F53" s="450" t="str">
        <f t="shared" si="3"/>
        <v>m2</v>
      </c>
      <c r="G53" s="451">
        <f t="shared" si="4"/>
        <v>2.64</v>
      </c>
      <c r="H53" s="452">
        <f>+'Cómp. y Presup.'!H57</f>
        <v>6225.7677076185764</v>
      </c>
      <c r="I53" s="453">
        <f t="shared" si="6"/>
        <v>16436.026748113043</v>
      </c>
      <c r="J53" s="454">
        <f t="shared" si="7"/>
        <v>1.4726456132389304E-3</v>
      </c>
      <c r="K53" s="445"/>
      <c r="L53" s="445"/>
      <c r="M53" s="455">
        <f t="shared" ref="M53:U53" si="50">+$J53*Y53</f>
        <v>0</v>
      </c>
      <c r="N53" s="455">
        <f t="shared" si="50"/>
        <v>0</v>
      </c>
      <c r="O53" s="455">
        <f t="shared" si="50"/>
        <v>0</v>
      </c>
      <c r="P53" s="455">
        <f t="shared" si="50"/>
        <v>0</v>
      </c>
      <c r="Q53" s="455">
        <f t="shared" si="50"/>
        <v>0</v>
      </c>
      <c r="R53" s="455">
        <f t="shared" si="50"/>
        <v>0</v>
      </c>
      <c r="S53" s="455">
        <f t="shared" si="50"/>
        <v>0</v>
      </c>
      <c r="T53" s="455">
        <f t="shared" si="50"/>
        <v>0</v>
      </c>
      <c r="U53" s="455">
        <f t="shared" si="50"/>
        <v>1.4726456132389304E-3</v>
      </c>
      <c r="V53" s="456"/>
      <c r="W53" s="457"/>
      <c r="X53" s="458">
        <f t="shared" si="17"/>
        <v>0</v>
      </c>
      <c r="Y53" s="459"/>
      <c r="Z53" s="459"/>
      <c r="AA53" s="459"/>
      <c r="AB53" s="459"/>
      <c r="AC53" s="459"/>
      <c r="AD53" s="459"/>
      <c r="AE53" s="459"/>
      <c r="AF53" s="459"/>
      <c r="AG53" s="459">
        <v>1</v>
      </c>
      <c r="AH53" s="435">
        <f t="shared" si="39"/>
        <v>1</v>
      </c>
    </row>
    <row r="54" spans="2:34" s="435" customFormat="1">
      <c r="B54" s="430" t="str">
        <f>+'Cómp. y Presup.'!B58</f>
        <v>z065</v>
      </c>
      <c r="C54" s="430">
        <f>+'Cómp. y Presup.'!C58</f>
        <v>0</v>
      </c>
      <c r="D54" s="448" t="str">
        <f t="shared" si="0"/>
        <v>RUBRO X:</v>
      </c>
      <c r="E54" s="449" t="str">
        <f t="shared" si="1"/>
        <v>CARPINTERÍA de MADERA</v>
      </c>
      <c r="F54" s="466"/>
      <c r="G54" s="467"/>
      <c r="H54" s="468"/>
      <c r="I54" s="469"/>
      <c r="J54" s="470">
        <f t="shared" si="7"/>
        <v>0</v>
      </c>
      <c r="K54" s="445"/>
      <c r="L54" s="445"/>
      <c r="M54" s="455">
        <f t="shared" ref="M54:M64" si="51">+$J54*Y54</f>
        <v>0</v>
      </c>
      <c r="N54" s="455">
        <f t="shared" ref="N54:N64" si="52">+$J54*Z54</f>
        <v>0</v>
      </c>
      <c r="O54" s="455">
        <f t="shared" ref="O54:O64" si="53">+$J54*AA54</f>
        <v>0</v>
      </c>
      <c r="P54" s="455">
        <f t="shared" ref="P54:P64" si="54">+$J54*AB54</f>
        <v>0</v>
      </c>
      <c r="Q54" s="455">
        <f t="shared" ref="Q54:Q64" si="55">+$J54*AC54</f>
        <v>0</v>
      </c>
      <c r="R54" s="455">
        <f t="shared" ref="R54:R64" si="56">+$J54*AD54</f>
        <v>0</v>
      </c>
      <c r="S54" s="455">
        <f t="shared" ref="S54:S64" si="57">+$J54*AE54</f>
        <v>0</v>
      </c>
      <c r="T54" s="455">
        <f t="shared" ref="T54:T64" si="58">+$J54*AF54</f>
        <v>0</v>
      </c>
      <c r="U54" s="455">
        <f t="shared" ref="U54:U64" si="59">+$J54*AG54</f>
        <v>0</v>
      </c>
      <c r="V54" s="456"/>
      <c r="W54" s="457"/>
      <c r="X54" s="458"/>
      <c r="Y54" s="459"/>
      <c r="Z54" s="459"/>
      <c r="AA54" s="459"/>
      <c r="AB54" s="459"/>
      <c r="AC54" s="459"/>
      <c r="AD54" s="459"/>
      <c r="AE54" s="459"/>
      <c r="AF54" s="459"/>
      <c r="AG54" s="459"/>
    </row>
    <row r="55" spans="2:34" s="435" customFormat="1">
      <c r="B55" s="430" t="str">
        <f>+'Cómp. y Presup.'!B59</f>
        <v>z066</v>
      </c>
      <c r="C55" s="430" t="str">
        <f>+'Cómp. y Presup.'!C59</f>
        <v>TR036</v>
      </c>
      <c r="D55" s="448">
        <f t="shared" si="0"/>
        <v>10.1</v>
      </c>
      <c r="E55" s="449" t="str">
        <f t="shared" si="1"/>
        <v>P3 : 1,00 x 2,05 Hoja (Baño Discapacitados)</v>
      </c>
      <c r="F55" s="450" t="str">
        <f t="shared" si="3"/>
        <v>ud</v>
      </c>
      <c r="G55" s="451">
        <f t="shared" si="4"/>
        <v>1</v>
      </c>
      <c r="H55" s="452">
        <f>+'Cómp. y Presup.'!H59</f>
        <v>3052.1369509291958</v>
      </c>
      <c r="I55" s="453">
        <f t="shared" si="6"/>
        <v>3052.1369509291958</v>
      </c>
      <c r="J55" s="454">
        <f t="shared" si="7"/>
        <v>2.7346731425259731E-4</v>
      </c>
      <c r="K55" s="445"/>
      <c r="L55" s="445"/>
      <c r="M55" s="455">
        <f t="shared" si="51"/>
        <v>0</v>
      </c>
      <c r="N55" s="455">
        <f t="shared" si="52"/>
        <v>0</v>
      </c>
      <c r="O55" s="455">
        <f t="shared" si="53"/>
        <v>0</v>
      </c>
      <c r="P55" s="455">
        <f t="shared" si="54"/>
        <v>0</v>
      </c>
      <c r="Q55" s="455">
        <f t="shared" si="55"/>
        <v>0</v>
      </c>
      <c r="R55" s="455">
        <f t="shared" si="56"/>
        <v>2.7346731425259731E-4</v>
      </c>
      <c r="S55" s="455">
        <f t="shared" si="57"/>
        <v>0</v>
      </c>
      <c r="T55" s="455">
        <f t="shared" si="58"/>
        <v>0</v>
      </c>
      <c r="U55" s="455">
        <f t="shared" si="59"/>
        <v>0</v>
      </c>
      <c r="V55" s="456"/>
      <c r="W55" s="457"/>
      <c r="X55" s="458">
        <f t="shared" si="17"/>
        <v>0</v>
      </c>
      <c r="Y55" s="459"/>
      <c r="Z55" s="459"/>
      <c r="AA55" s="459"/>
      <c r="AB55" s="459"/>
      <c r="AC55" s="459"/>
      <c r="AD55" s="459">
        <v>1</v>
      </c>
      <c r="AE55" s="459"/>
      <c r="AF55" s="459"/>
      <c r="AG55" s="459"/>
      <c r="AH55" s="435">
        <f>SUM(Y55:AG55)</f>
        <v>1</v>
      </c>
    </row>
    <row r="56" spans="2:34" s="435" customFormat="1">
      <c r="B56" s="430" t="str">
        <f>+'Cómp. y Presup.'!B60</f>
        <v>z067</v>
      </c>
      <c r="C56" s="430" t="str">
        <f>+'Cómp. y Presup.'!C60</f>
        <v>TR037</v>
      </c>
      <c r="D56" s="448">
        <f t="shared" si="0"/>
        <v>10.199999999999999</v>
      </c>
      <c r="E56" s="449" t="str">
        <f t="shared" si="1"/>
        <v>P2 : 0,95 x 2,05 Hoja (Acceso baños)</v>
      </c>
      <c r="F56" s="450" t="str">
        <f t="shared" si="3"/>
        <v>ud</v>
      </c>
      <c r="G56" s="451">
        <f t="shared" si="4"/>
        <v>2</v>
      </c>
      <c r="H56" s="452">
        <f>+'Cómp. y Presup.'!H60</f>
        <v>3052.1369509291958</v>
      </c>
      <c r="I56" s="453">
        <f t="shared" si="6"/>
        <v>6104.2739018583916</v>
      </c>
      <c r="J56" s="454">
        <f>+I56/$I$97</f>
        <v>5.4693462850519462E-4</v>
      </c>
      <c r="K56" s="445"/>
      <c r="L56" s="445"/>
      <c r="M56" s="455">
        <f t="shared" si="51"/>
        <v>0</v>
      </c>
      <c r="N56" s="455">
        <f t="shared" si="52"/>
        <v>0</v>
      </c>
      <c r="O56" s="455">
        <f t="shared" si="53"/>
        <v>0</v>
      </c>
      <c r="P56" s="455">
        <f t="shared" si="54"/>
        <v>0</v>
      </c>
      <c r="Q56" s="455">
        <f t="shared" si="55"/>
        <v>0</v>
      </c>
      <c r="R56" s="455">
        <f t="shared" si="56"/>
        <v>5.4693462850519462E-4</v>
      </c>
      <c r="S56" s="455">
        <f t="shared" si="57"/>
        <v>0</v>
      </c>
      <c r="T56" s="455">
        <f t="shared" si="58"/>
        <v>0</v>
      </c>
      <c r="U56" s="455">
        <f t="shared" si="59"/>
        <v>0</v>
      </c>
      <c r="V56" s="456"/>
      <c r="W56" s="457"/>
      <c r="X56" s="458">
        <f t="shared" si="17"/>
        <v>0</v>
      </c>
      <c r="Y56" s="459"/>
      <c r="Z56" s="459"/>
      <c r="AA56" s="459"/>
      <c r="AB56" s="459"/>
      <c r="AC56" s="459"/>
      <c r="AD56" s="459">
        <v>1</v>
      </c>
      <c r="AE56" s="459"/>
      <c r="AF56" s="459"/>
      <c r="AG56" s="459"/>
      <c r="AH56" s="435">
        <f>SUM(Y56:AG56)</f>
        <v>1</v>
      </c>
    </row>
    <row r="57" spans="2:34" s="435" customFormat="1">
      <c r="B57" s="430" t="str">
        <f>+'Cómp. y Presup.'!B61</f>
        <v>z068</v>
      </c>
      <c r="C57" s="430" t="str">
        <f>+'Cómp. y Presup.'!C61</f>
        <v>TR038</v>
      </c>
      <c r="D57" s="448">
        <f t="shared" si="0"/>
        <v>10.3</v>
      </c>
      <c r="E57" s="449" t="str">
        <f t="shared" si="1"/>
        <v>P4:  0,70 x 1,80 Hoja (Baños Retretes)</v>
      </c>
      <c r="F57" s="450" t="str">
        <f t="shared" si="3"/>
        <v>ud</v>
      </c>
      <c r="G57" s="451">
        <f t="shared" si="4"/>
        <v>6</v>
      </c>
      <c r="H57" s="452">
        <f>+'Cómp. y Presup.'!H61</f>
        <v>3052.1369509291958</v>
      </c>
      <c r="I57" s="453">
        <f t="shared" si="6"/>
        <v>18312.821705575174</v>
      </c>
      <c r="J57" s="454">
        <f t="shared" si="7"/>
        <v>1.6408038855155837E-3</v>
      </c>
      <c r="K57" s="445"/>
      <c r="L57" s="445"/>
      <c r="M57" s="455">
        <f t="shared" si="51"/>
        <v>0</v>
      </c>
      <c r="N57" s="455">
        <f t="shared" si="52"/>
        <v>0</v>
      </c>
      <c r="O57" s="455">
        <f t="shared" si="53"/>
        <v>0</v>
      </c>
      <c r="P57" s="455">
        <f t="shared" si="54"/>
        <v>0</v>
      </c>
      <c r="Q57" s="455">
        <f t="shared" si="55"/>
        <v>0</v>
      </c>
      <c r="R57" s="455">
        <f t="shared" si="56"/>
        <v>1.6408038855155837E-3</v>
      </c>
      <c r="S57" s="455">
        <f t="shared" si="57"/>
        <v>0</v>
      </c>
      <c r="T57" s="455">
        <f t="shared" si="58"/>
        <v>0</v>
      </c>
      <c r="U57" s="455">
        <f t="shared" si="59"/>
        <v>0</v>
      </c>
      <c r="V57" s="456"/>
      <c r="W57" s="457"/>
      <c r="X57" s="458">
        <f t="shared" si="17"/>
        <v>0</v>
      </c>
      <c r="Y57" s="459"/>
      <c r="Z57" s="459"/>
      <c r="AA57" s="459"/>
      <c r="AB57" s="459"/>
      <c r="AC57" s="459"/>
      <c r="AD57" s="459">
        <v>1</v>
      </c>
      <c r="AE57" s="459"/>
      <c r="AF57" s="459"/>
      <c r="AG57" s="459"/>
      <c r="AH57" s="435">
        <f>SUM(Y57:AG57)</f>
        <v>1</v>
      </c>
    </row>
    <row r="58" spans="2:34" s="435" customFormat="1">
      <c r="B58" s="430" t="str">
        <f>+'Cómp. y Presup.'!B62</f>
        <v>z069</v>
      </c>
      <c r="C58" s="430">
        <f>+'Cómp. y Presup.'!C62</f>
        <v>0</v>
      </c>
      <c r="D58" s="448" t="str">
        <f t="shared" si="0"/>
        <v>RUBRO XI:</v>
      </c>
      <c r="E58" s="449" t="str">
        <f t="shared" si="1"/>
        <v>CARPINTERÍA METÁLICA y HERRERÍA</v>
      </c>
      <c r="F58" s="466"/>
      <c r="G58" s="467"/>
      <c r="H58" s="468"/>
      <c r="I58" s="469"/>
      <c r="J58" s="470"/>
      <c r="K58" s="445"/>
      <c r="L58" s="445"/>
      <c r="M58" s="471"/>
      <c r="N58" s="472"/>
      <c r="O58" s="472"/>
      <c r="P58" s="472"/>
      <c r="Q58" s="472"/>
      <c r="R58" s="472"/>
      <c r="S58" s="472"/>
      <c r="T58" s="472"/>
      <c r="U58" s="473"/>
      <c r="V58" s="456"/>
      <c r="W58" s="457"/>
      <c r="X58" s="458">
        <f t="shared" si="17"/>
        <v>0</v>
      </c>
      <c r="Y58" s="459"/>
      <c r="Z58" s="459"/>
      <c r="AA58" s="459"/>
      <c r="AB58" s="459"/>
      <c r="AC58" s="459"/>
      <c r="AD58" s="459"/>
      <c r="AE58" s="459"/>
      <c r="AF58" s="459"/>
      <c r="AG58" s="459"/>
    </row>
    <row r="59" spans="2:34" s="435" customFormat="1">
      <c r="B59" s="430" t="str">
        <f>+'Cómp. y Presup.'!B63</f>
        <v>z070</v>
      </c>
      <c r="C59" s="430" t="str">
        <f>+'Cómp. y Presup.'!C63</f>
        <v>TR039</v>
      </c>
      <c r="D59" s="448">
        <f t="shared" si="0"/>
        <v>11.1</v>
      </c>
      <c r="E59" s="449" t="str">
        <f t="shared" si="1"/>
        <v>P1: 1,50 x 2,55</v>
      </c>
      <c r="F59" s="450" t="str">
        <f t="shared" si="3"/>
        <v>ud</v>
      </c>
      <c r="G59" s="451">
        <f t="shared" si="4"/>
        <v>8</v>
      </c>
      <c r="H59" s="452">
        <f>+'Cómp. y Presup.'!H63</f>
        <v>28851.761164285348</v>
      </c>
      <c r="I59" s="453">
        <f t="shared" si="6"/>
        <v>230814.08931428278</v>
      </c>
      <c r="J59" s="454">
        <f t="shared" si="7"/>
        <v>2.0680628068547081E-2</v>
      </c>
      <c r="K59" s="445"/>
      <c r="L59" s="445"/>
      <c r="M59" s="455">
        <f t="shared" si="51"/>
        <v>0</v>
      </c>
      <c r="N59" s="455">
        <f t="shared" si="52"/>
        <v>0</v>
      </c>
      <c r="O59" s="455">
        <f t="shared" si="53"/>
        <v>0</v>
      </c>
      <c r="P59" s="455">
        <f t="shared" si="54"/>
        <v>0</v>
      </c>
      <c r="Q59" s="455">
        <f t="shared" si="55"/>
        <v>0</v>
      </c>
      <c r="R59" s="455">
        <f t="shared" si="56"/>
        <v>0</v>
      </c>
      <c r="S59" s="455">
        <f t="shared" si="57"/>
        <v>0</v>
      </c>
      <c r="T59" s="455">
        <f t="shared" si="58"/>
        <v>2.0680628068547081E-2</v>
      </c>
      <c r="U59" s="455">
        <f t="shared" si="59"/>
        <v>0</v>
      </c>
      <c r="V59" s="456"/>
      <c r="W59" s="457"/>
      <c r="X59" s="458">
        <f t="shared" si="17"/>
        <v>0</v>
      </c>
      <c r="Y59" s="459"/>
      <c r="Z59" s="459"/>
      <c r="AA59" s="459"/>
      <c r="AB59" s="459"/>
      <c r="AC59" s="459"/>
      <c r="AD59" s="459"/>
      <c r="AE59" s="459"/>
      <c r="AF59" s="459">
        <v>1</v>
      </c>
      <c r="AG59" s="459"/>
      <c r="AH59" s="435">
        <f t="shared" ref="AH59:AH70" si="60">SUM(Y59:AG59)</f>
        <v>1</v>
      </c>
    </row>
    <row r="60" spans="2:34" s="435" customFormat="1">
      <c r="B60" s="430" t="str">
        <f>+'Cómp. y Presup.'!B64</f>
        <v>z071</v>
      </c>
      <c r="C60" s="430" t="str">
        <f>+'Cómp. y Presup.'!C64</f>
        <v>TR040</v>
      </c>
      <c r="D60" s="448">
        <f t="shared" si="0"/>
        <v>11.2</v>
      </c>
      <c r="E60" s="449" t="str">
        <f t="shared" si="1"/>
        <v>P2: 1,00 x 2,55 Marco (Acceso Baños)</v>
      </c>
      <c r="F60" s="450" t="str">
        <f t="shared" si="3"/>
        <v>ud</v>
      </c>
      <c r="G60" s="451">
        <f t="shared" si="4"/>
        <v>1</v>
      </c>
      <c r="H60" s="452">
        <f>+'Cómp. y Presup.'!H64</f>
        <v>7706.5275766579889</v>
      </c>
      <c r="I60" s="453">
        <f t="shared" si="6"/>
        <v>7706.5275766579889</v>
      </c>
      <c r="J60" s="454">
        <f t="shared" si="7"/>
        <v>6.9049437573914666E-4</v>
      </c>
      <c r="K60" s="445"/>
      <c r="L60" s="445"/>
      <c r="M60" s="455">
        <f t="shared" si="51"/>
        <v>0</v>
      </c>
      <c r="N60" s="455">
        <f t="shared" si="52"/>
        <v>0</v>
      </c>
      <c r="O60" s="455">
        <f t="shared" si="53"/>
        <v>0</v>
      </c>
      <c r="P60" s="455">
        <f t="shared" si="54"/>
        <v>0</v>
      </c>
      <c r="Q60" s="455">
        <f t="shared" si="55"/>
        <v>0</v>
      </c>
      <c r="R60" s="455">
        <f t="shared" si="56"/>
        <v>6.9049437573914666E-4</v>
      </c>
      <c r="S60" s="455">
        <f t="shared" si="57"/>
        <v>0</v>
      </c>
      <c r="T60" s="455">
        <f t="shared" si="58"/>
        <v>0</v>
      </c>
      <c r="U60" s="455">
        <f t="shared" si="59"/>
        <v>0</v>
      </c>
      <c r="V60" s="456"/>
      <c r="W60" s="457"/>
      <c r="X60" s="458">
        <f t="shared" si="17"/>
        <v>0</v>
      </c>
      <c r="Y60" s="459"/>
      <c r="Z60" s="459"/>
      <c r="AA60" s="459"/>
      <c r="AB60" s="459"/>
      <c r="AC60" s="459"/>
      <c r="AD60" s="459">
        <v>1</v>
      </c>
      <c r="AE60" s="459"/>
      <c r="AF60" s="459"/>
      <c r="AG60" s="459"/>
      <c r="AH60" s="435">
        <f t="shared" si="60"/>
        <v>1</v>
      </c>
    </row>
    <row r="61" spans="2:34" s="435" customFormat="1">
      <c r="B61" s="430" t="str">
        <f>+'Cómp. y Presup.'!B65</f>
        <v>z072</v>
      </c>
      <c r="C61" s="430" t="str">
        <f>+'Cómp. y Presup.'!C65</f>
        <v>TR041</v>
      </c>
      <c r="D61" s="448">
        <f t="shared" si="0"/>
        <v>11.3</v>
      </c>
      <c r="E61" s="449" t="str">
        <f t="shared" si="1"/>
        <v>P3: 1,00 x 2,55 Marco (Baño Discapacitados)</v>
      </c>
      <c r="F61" s="450" t="str">
        <f t="shared" si="3"/>
        <v>ud</v>
      </c>
      <c r="G61" s="451">
        <f t="shared" si="4"/>
        <v>2</v>
      </c>
      <c r="H61" s="452">
        <f>+'Cómp. y Presup.'!H65</f>
        <v>7706.5275766579889</v>
      </c>
      <c r="I61" s="453">
        <f t="shared" si="6"/>
        <v>15413.055153315978</v>
      </c>
      <c r="J61" s="454">
        <f t="shared" si="7"/>
        <v>1.3809887514782933E-3</v>
      </c>
      <c r="K61" s="445"/>
      <c r="L61" s="445"/>
      <c r="M61" s="455">
        <f t="shared" si="51"/>
        <v>0</v>
      </c>
      <c r="N61" s="455">
        <f t="shared" si="52"/>
        <v>0</v>
      </c>
      <c r="O61" s="455">
        <f t="shared" si="53"/>
        <v>0</v>
      </c>
      <c r="P61" s="455">
        <f t="shared" si="54"/>
        <v>0</v>
      </c>
      <c r="Q61" s="455">
        <f t="shared" si="55"/>
        <v>0</v>
      </c>
      <c r="R61" s="455">
        <f t="shared" si="56"/>
        <v>1.3809887514782933E-3</v>
      </c>
      <c r="S61" s="455">
        <f t="shared" si="57"/>
        <v>0</v>
      </c>
      <c r="T61" s="455">
        <f t="shared" si="58"/>
        <v>0</v>
      </c>
      <c r="U61" s="455">
        <f t="shared" si="59"/>
        <v>0</v>
      </c>
      <c r="V61" s="456"/>
      <c r="W61" s="457"/>
      <c r="X61" s="458">
        <f t="shared" si="17"/>
        <v>0</v>
      </c>
      <c r="Y61" s="459"/>
      <c r="Z61" s="459"/>
      <c r="AA61" s="459"/>
      <c r="AB61" s="459"/>
      <c r="AC61" s="459"/>
      <c r="AD61" s="459">
        <v>1</v>
      </c>
      <c r="AE61" s="459"/>
      <c r="AF61" s="459"/>
      <c r="AG61" s="459"/>
      <c r="AH61" s="435">
        <f t="shared" si="60"/>
        <v>1</v>
      </c>
    </row>
    <row r="62" spans="2:34" s="435" customFormat="1">
      <c r="B62" s="430" t="str">
        <f>+'Cómp. y Presup.'!B66</f>
        <v>z073</v>
      </c>
      <c r="C62" s="430" t="str">
        <f>+'Cómp. y Presup.'!C66</f>
        <v>TR042</v>
      </c>
      <c r="D62" s="448">
        <f t="shared" si="0"/>
        <v>11.4</v>
      </c>
      <c r="E62" s="449" t="str">
        <f t="shared" si="1"/>
        <v>P4: 0,90 x 1,80 Marco (Baño Retretes)</v>
      </c>
      <c r="F62" s="450" t="str">
        <f t="shared" si="3"/>
        <v>ud</v>
      </c>
      <c r="G62" s="451">
        <f t="shared" si="4"/>
        <v>6</v>
      </c>
      <c r="H62" s="452">
        <f>+'Cómp. y Presup.'!H66</f>
        <v>7706.5275766579889</v>
      </c>
      <c r="I62" s="453">
        <f t="shared" si="6"/>
        <v>46239.165459947937</v>
      </c>
      <c r="J62" s="454">
        <f t="shared" si="7"/>
        <v>4.1429662544348799E-3</v>
      </c>
      <c r="K62" s="445"/>
      <c r="L62" s="445"/>
      <c r="M62" s="455">
        <f t="shared" si="51"/>
        <v>0</v>
      </c>
      <c r="N62" s="455">
        <f t="shared" si="52"/>
        <v>0</v>
      </c>
      <c r="O62" s="455">
        <f t="shared" si="53"/>
        <v>0</v>
      </c>
      <c r="P62" s="455">
        <f t="shared" si="54"/>
        <v>0</v>
      </c>
      <c r="Q62" s="455">
        <f t="shared" si="55"/>
        <v>0</v>
      </c>
      <c r="R62" s="455">
        <f t="shared" si="56"/>
        <v>4.1429662544348799E-3</v>
      </c>
      <c r="S62" s="455">
        <f t="shared" si="57"/>
        <v>0</v>
      </c>
      <c r="T62" s="455">
        <f t="shared" si="58"/>
        <v>0</v>
      </c>
      <c r="U62" s="455">
        <f t="shared" si="59"/>
        <v>0</v>
      </c>
      <c r="V62" s="456"/>
      <c r="W62" s="457"/>
      <c r="X62" s="458">
        <f t="shared" si="17"/>
        <v>0</v>
      </c>
      <c r="Y62" s="459"/>
      <c r="Z62" s="459"/>
      <c r="AA62" s="459"/>
      <c r="AB62" s="459"/>
      <c r="AC62" s="459"/>
      <c r="AD62" s="459">
        <v>1</v>
      </c>
      <c r="AE62" s="459"/>
      <c r="AF62" s="459"/>
      <c r="AG62" s="459"/>
      <c r="AH62" s="435">
        <f t="shared" si="60"/>
        <v>1</v>
      </c>
    </row>
    <row r="63" spans="2:34" s="435" customFormat="1">
      <c r="B63" s="430" t="str">
        <f>+'Cómp. y Presup.'!B67</f>
        <v>z074</v>
      </c>
      <c r="C63" s="430" t="str">
        <f>+'Cómp. y Presup.'!C67</f>
        <v>TR043</v>
      </c>
      <c r="D63" s="448">
        <f t="shared" si="0"/>
        <v>11.5</v>
      </c>
      <c r="E63" s="449" t="str">
        <f t="shared" si="1"/>
        <v>PV1: 6,73 x 2,55</v>
      </c>
      <c r="F63" s="450" t="str">
        <f t="shared" si="3"/>
        <v>ud</v>
      </c>
      <c r="G63" s="451">
        <f t="shared" si="4"/>
        <v>1</v>
      </c>
      <c r="H63" s="452">
        <f>+'Cómp. y Presup.'!H67</f>
        <v>126836.10602788534</v>
      </c>
      <c r="I63" s="453">
        <f t="shared" si="6"/>
        <v>126836.10602788534</v>
      </c>
      <c r="J63" s="454">
        <f t="shared" si="7"/>
        <v>1.136434236843264E-2</v>
      </c>
      <c r="K63" s="445"/>
      <c r="L63" s="445"/>
      <c r="M63" s="455">
        <f t="shared" si="51"/>
        <v>0</v>
      </c>
      <c r="N63" s="455">
        <f t="shared" si="52"/>
        <v>0</v>
      </c>
      <c r="O63" s="455">
        <f t="shared" si="53"/>
        <v>0</v>
      </c>
      <c r="P63" s="455">
        <f t="shared" si="54"/>
        <v>0</v>
      </c>
      <c r="Q63" s="455">
        <f t="shared" si="55"/>
        <v>0</v>
      </c>
      <c r="R63" s="455">
        <f t="shared" si="56"/>
        <v>0</v>
      </c>
      <c r="S63" s="455">
        <f t="shared" si="57"/>
        <v>1.136434236843264E-2</v>
      </c>
      <c r="T63" s="455">
        <f t="shared" si="58"/>
        <v>0</v>
      </c>
      <c r="U63" s="455">
        <f t="shared" si="59"/>
        <v>0</v>
      </c>
      <c r="V63" s="456"/>
      <c r="W63" s="457"/>
      <c r="X63" s="458">
        <f t="shared" si="17"/>
        <v>0</v>
      </c>
      <c r="Y63" s="459"/>
      <c r="Z63" s="459"/>
      <c r="AA63" s="459"/>
      <c r="AB63" s="459"/>
      <c r="AC63" s="459"/>
      <c r="AD63" s="459"/>
      <c r="AE63" s="459">
        <v>1</v>
      </c>
      <c r="AF63" s="459"/>
      <c r="AG63" s="459"/>
      <c r="AH63" s="435">
        <f t="shared" si="60"/>
        <v>1</v>
      </c>
    </row>
    <row r="64" spans="2:34" s="435" customFormat="1">
      <c r="B64" s="430" t="str">
        <f>+'Cómp. y Presup.'!B68</f>
        <v>z075</v>
      </c>
      <c r="C64" s="430" t="str">
        <f>+'Cómp. y Presup.'!C68</f>
        <v>TR044</v>
      </c>
      <c r="D64" s="448">
        <f t="shared" si="0"/>
        <v>11.6</v>
      </c>
      <c r="E64" s="449" t="str">
        <f t="shared" si="1"/>
        <v>PV2: 6,67 x 2,55</v>
      </c>
      <c r="F64" s="450" t="str">
        <f t="shared" si="3"/>
        <v>ud</v>
      </c>
      <c r="G64" s="451">
        <f t="shared" si="4"/>
        <v>4</v>
      </c>
      <c r="H64" s="452">
        <f>+'Cómp. y Presup.'!H68</f>
        <v>97121.539380925344</v>
      </c>
      <c r="I64" s="453">
        <f t="shared" si="6"/>
        <v>388486.15752370137</v>
      </c>
      <c r="J64" s="454">
        <f t="shared" si="7"/>
        <v>3.4807830654510694E-2</v>
      </c>
      <c r="K64" s="445"/>
      <c r="L64" s="445"/>
      <c r="M64" s="455">
        <f t="shared" si="51"/>
        <v>0</v>
      </c>
      <c r="N64" s="455">
        <f t="shared" si="52"/>
        <v>0</v>
      </c>
      <c r="O64" s="455">
        <f t="shared" si="53"/>
        <v>0</v>
      </c>
      <c r="P64" s="455">
        <f t="shared" si="54"/>
        <v>0</v>
      </c>
      <c r="Q64" s="455">
        <f t="shared" si="55"/>
        <v>0</v>
      </c>
      <c r="R64" s="455">
        <f t="shared" si="56"/>
        <v>0</v>
      </c>
      <c r="S64" s="455">
        <f t="shared" si="57"/>
        <v>0</v>
      </c>
      <c r="T64" s="455">
        <f t="shared" si="58"/>
        <v>3.4807830654510694E-2</v>
      </c>
      <c r="U64" s="455">
        <f t="shared" si="59"/>
        <v>0</v>
      </c>
      <c r="V64" s="456"/>
      <c r="W64" s="457"/>
      <c r="X64" s="458">
        <f t="shared" si="17"/>
        <v>0</v>
      </c>
      <c r="Y64" s="459"/>
      <c r="Z64" s="459"/>
      <c r="AA64" s="459"/>
      <c r="AB64" s="459"/>
      <c r="AC64" s="459"/>
      <c r="AD64" s="459"/>
      <c r="AE64" s="459"/>
      <c r="AF64" s="459">
        <v>1</v>
      </c>
      <c r="AG64" s="459"/>
      <c r="AH64" s="435">
        <f t="shared" si="60"/>
        <v>1</v>
      </c>
    </row>
    <row r="65" spans="2:34" s="435" customFormat="1">
      <c r="B65" s="430" t="str">
        <f>+'Cómp. y Presup.'!B69</f>
        <v>z076</v>
      </c>
      <c r="C65" s="430" t="str">
        <f>+'Cómp. y Presup.'!C69</f>
        <v>TR045</v>
      </c>
      <c r="D65" s="448">
        <f t="shared" si="0"/>
        <v>11.7</v>
      </c>
      <c r="E65" s="449" t="str">
        <f t="shared" si="1"/>
        <v>PV3: 7,86 x 2,25</v>
      </c>
      <c r="F65" s="450" t="str">
        <f t="shared" si="3"/>
        <v>ud</v>
      </c>
      <c r="G65" s="451">
        <f t="shared" si="4"/>
        <v>4</v>
      </c>
      <c r="H65" s="452">
        <f>+'Cómp. y Presup.'!H69</f>
        <v>93131.747147485352</v>
      </c>
      <c r="I65" s="453">
        <f t="shared" si="6"/>
        <v>372526.98858994141</v>
      </c>
      <c r="J65" s="454">
        <f t="shared" si="7"/>
        <v>3.3377910852029305E-2</v>
      </c>
      <c r="K65" s="445"/>
      <c r="L65" s="445"/>
      <c r="M65" s="455">
        <f t="shared" ref="M65:U65" si="61">+$J65*Y65</f>
        <v>0</v>
      </c>
      <c r="N65" s="455">
        <f t="shared" si="61"/>
        <v>0</v>
      </c>
      <c r="O65" s="455">
        <f t="shared" si="61"/>
        <v>0</v>
      </c>
      <c r="P65" s="455">
        <f t="shared" si="61"/>
        <v>0</v>
      </c>
      <c r="Q65" s="455">
        <f t="shared" si="61"/>
        <v>0</v>
      </c>
      <c r="R65" s="455">
        <f t="shared" si="61"/>
        <v>0</v>
      </c>
      <c r="S65" s="455">
        <f t="shared" si="61"/>
        <v>3.3377910852029305E-2</v>
      </c>
      <c r="T65" s="455">
        <f t="shared" si="61"/>
        <v>0</v>
      </c>
      <c r="U65" s="455">
        <f t="shared" si="61"/>
        <v>0</v>
      </c>
      <c r="V65" s="456"/>
      <c r="W65" s="457"/>
      <c r="X65" s="458">
        <f t="shared" si="17"/>
        <v>0</v>
      </c>
      <c r="Y65" s="459"/>
      <c r="Z65" s="459"/>
      <c r="AA65" s="459"/>
      <c r="AB65" s="459"/>
      <c r="AC65" s="459"/>
      <c r="AD65" s="459"/>
      <c r="AE65" s="459">
        <v>1</v>
      </c>
      <c r="AF65" s="459"/>
      <c r="AG65" s="459"/>
      <c r="AH65" s="435">
        <f t="shared" si="60"/>
        <v>1</v>
      </c>
    </row>
    <row r="66" spans="2:34" s="435" customFormat="1">
      <c r="B66" s="430" t="str">
        <f>+'Cómp. y Presup.'!B70</f>
        <v>z077</v>
      </c>
      <c r="C66" s="430" t="str">
        <f>+'Cómp. y Presup.'!C70</f>
        <v>TR046</v>
      </c>
      <c r="D66" s="448">
        <f t="shared" si="0"/>
        <v>11.8</v>
      </c>
      <c r="E66" s="449" t="str">
        <f t="shared" si="1"/>
        <v>PV4: 3,60 x 2,55</v>
      </c>
      <c r="F66" s="450" t="str">
        <f t="shared" si="3"/>
        <v>ud</v>
      </c>
      <c r="G66" s="451">
        <f t="shared" si="4"/>
        <v>3</v>
      </c>
      <c r="H66" s="452">
        <f>+'Cómp. y Presup.'!H70</f>
        <v>51756.123985885351</v>
      </c>
      <c r="I66" s="453">
        <f t="shared" si="6"/>
        <v>155268.37195765605</v>
      </c>
      <c r="J66" s="454">
        <f t="shared" si="7"/>
        <v>1.3911834675277818E-2</v>
      </c>
      <c r="K66" s="445"/>
      <c r="L66" s="445"/>
      <c r="M66" s="455">
        <f t="shared" ref="M66" si="62">+$J66*Y66</f>
        <v>0</v>
      </c>
      <c r="N66" s="455">
        <f t="shared" ref="N66" si="63">+$J66*Z66</f>
        <v>0</v>
      </c>
      <c r="O66" s="455">
        <f t="shared" ref="O66" si="64">+$J66*AA66</f>
        <v>0</v>
      </c>
      <c r="P66" s="455">
        <f t="shared" ref="P66" si="65">+$J66*AB66</f>
        <v>0</v>
      </c>
      <c r="Q66" s="455">
        <f t="shared" ref="Q66" si="66">+$J66*AC66</f>
        <v>0</v>
      </c>
      <c r="R66" s="455">
        <f t="shared" ref="R66" si="67">+$J66*AD66</f>
        <v>0</v>
      </c>
      <c r="S66" s="455">
        <f t="shared" ref="S66" si="68">+$J66*AE66</f>
        <v>1.3911834675277818E-2</v>
      </c>
      <c r="T66" s="455">
        <f t="shared" ref="T66" si="69">+$J66*AF66</f>
        <v>0</v>
      </c>
      <c r="U66" s="455">
        <f t="shared" ref="U66" si="70">+$J66*AG66</f>
        <v>0</v>
      </c>
      <c r="V66" s="456"/>
      <c r="W66" s="457"/>
      <c r="X66" s="458">
        <f t="shared" si="17"/>
        <v>0</v>
      </c>
      <c r="Y66" s="459"/>
      <c r="Z66" s="459"/>
      <c r="AA66" s="459"/>
      <c r="AB66" s="459"/>
      <c r="AC66" s="459"/>
      <c r="AD66" s="459"/>
      <c r="AE66" s="459">
        <v>1</v>
      </c>
      <c r="AF66" s="459"/>
      <c r="AG66" s="459"/>
      <c r="AH66" s="435">
        <f t="shared" si="60"/>
        <v>1</v>
      </c>
    </row>
    <row r="67" spans="2:34" s="435" customFormat="1">
      <c r="B67" s="430" t="str">
        <f>+'Cómp. y Presup.'!B71</f>
        <v>z078</v>
      </c>
      <c r="C67" s="430" t="str">
        <f>+'Cómp. y Presup.'!C71</f>
        <v>TR047</v>
      </c>
      <c r="D67" s="448">
        <f t="shared" si="0"/>
        <v>11.9</v>
      </c>
      <c r="E67" s="449" t="str">
        <f t="shared" si="1"/>
        <v>PV5: 3,50 x 2,55</v>
      </c>
      <c r="F67" s="450" t="str">
        <f t="shared" si="3"/>
        <v>ud</v>
      </c>
      <c r="G67" s="451">
        <f t="shared" si="4"/>
        <v>3</v>
      </c>
      <c r="H67" s="452">
        <f>+'Cómp. y Presup.'!H71</f>
        <v>51756.123985885351</v>
      </c>
      <c r="I67" s="453">
        <f>+H67*G67</f>
        <v>155268.37195765605</v>
      </c>
      <c r="J67" s="454">
        <f t="shared" si="7"/>
        <v>1.3911834675277818E-2</v>
      </c>
      <c r="K67" s="445"/>
      <c r="L67" s="445"/>
      <c r="M67" s="455">
        <f t="shared" ref="M67:U67" si="71">+$J67*Y67</f>
        <v>0</v>
      </c>
      <c r="N67" s="455">
        <f t="shared" si="71"/>
        <v>0</v>
      </c>
      <c r="O67" s="455">
        <f t="shared" si="71"/>
        <v>0</v>
      </c>
      <c r="P67" s="455">
        <f t="shared" si="71"/>
        <v>0</v>
      </c>
      <c r="Q67" s="455">
        <f t="shared" si="71"/>
        <v>0</v>
      </c>
      <c r="R67" s="455">
        <f t="shared" si="71"/>
        <v>0</v>
      </c>
      <c r="S67" s="455">
        <f t="shared" si="71"/>
        <v>1.3911834675277818E-2</v>
      </c>
      <c r="T67" s="455">
        <f t="shared" si="71"/>
        <v>0</v>
      </c>
      <c r="U67" s="455">
        <f t="shared" si="71"/>
        <v>0</v>
      </c>
      <c r="V67" s="456"/>
      <c r="W67" s="457"/>
      <c r="X67" s="458">
        <f t="shared" si="17"/>
        <v>0</v>
      </c>
      <c r="Y67" s="459"/>
      <c r="Z67" s="459"/>
      <c r="AA67" s="459"/>
      <c r="AB67" s="459"/>
      <c r="AC67" s="459"/>
      <c r="AD67" s="459"/>
      <c r="AE67" s="459">
        <v>1</v>
      </c>
      <c r="AF67" s="459"/>
      <c r="AG67" s="459"/>
      <c r="AH67" s="435">
        <f t="shared" si="60"/>
        <v>1</v>
      </c>
    </row>
    <row r="68" spans="2:34" s="435" customFormat="1">
      <c r="B68" s="430" t="str">
        <f>+'Cómp. y Presup.'!B72</f>
        <v>z079</v>
      </c>
      <c r="C68" s="430" t="str">
        <f>+'Cómp. y Presup.'!C72</f>
        <v>TR048</v>
      </c>
      <c r="D68" s="448">
        <f t="shared" si="0"/>
        <v>11.1</v>
      </c>
      <c r="E68" s="449" t="str">
        <f t="shared" si="1"/>
        <v>B1: 6,73 x 0,60</v>
      </c>
      <c r="F68" s="450" t="str">
        <f t="shared" si="3"/>
        <v>ud</v>
      </c>
      <c r="G68" s="451">
        <f t="shared" si="4"/>
        <v>14</v>
      </c>
      <c r="H68" s="452">
        <f>+'Cómp. y Presup.'!H72</f>
        <v>29960.036784685351</v>
      </c>
      <c r="I68" s="453">
        <f t="shared" si="6"/>
        <v>419440.5149855949</v>
      </c>
      <c r="J68" s="454">
        <f t="shared" si="7"/>
        <v>3.7581298927925416E-2</v>
      </c>
      <c r="K68" s="445"/>
      <c r="L68" s="445"/>
      <c r="M68" s="455">
        <f t="shared" ref="M68:M75" si="72">+$J68*Y68</f>
        <v>0</v>
      </c>
      <c r="N68" s="455">
        <f t="shared" ref="N68:N75" si="73">+$J68*Z68</f>
        <v>0</v>
      </c>
      <c r="O68" s="455">
        <f t="shared" ref="O68:O75" si="74">+$J68*AA68</f>
        <v>0</v>
      </c>
      <c r="P68" s="455">
        <f t="shared" ref="P68:P75" si="75">+$J68*AB68</f>
        <v>0</v>
      </c>
      <c r="Q68" s="455">
        <f t="shared" ref="Q68:Q75" si="76">+$J68*AC68</f>
        <v>0</v>
      </c>
      <c r="R68" s="455">
        <f t="shared" ref="R68:R75" si="77">+$J68*AD68</f>
        <v>0</v>
      </c>
      <c r="S68" s="455">
        <f t="shared" ref="S68:S75" si="78">+$J68*AE68</f>
        <v>0</v>
      </c>
      <c r="T68" s="455">
        <f t="shared" ref="T68:T75" si="79">+$J68*AF68</f>
        <v>0</v>
      </c>
      <c r="U68" s="455">
        <f t="shared" ref="U68:U75" si="80">+$J68*AG68</f>
        <v>3.7581298927925416E-2</v>
      </c>
      <c r="V68" s="456"/>
      <c r="W68" s="457"/>
      <c r="X68" s="458">
        <f t="shared" si="17"/>
        <v>0</v>
      </c>
      <c r="Y68" s="459"/>
      <c r="Z68" s="459"/>
      <c r="AA68" s="459"/>
      <c r="AB68" s="459"/>
      <c r="AC68" s="459"/>
      <c r="AD68" s="459"/>
      <c r="AE68" s="459"/>
      <c r="AF68" s="459"/>
      <c r="AG68" s="459">
        <v>1</v>
      </c>
      <c r="AH68" s="435">
        <f t="shared" si="60"/>
        <v>1</v>
      </c>
    </row>
    <row r="69" spans="2:34" s="435" customFormat="1">
      <c r="B69" s="430" t="str">
        <f>+'Cómp. y Presup.'!B73</f>
        <v>z080</v>
      </c>
      <c r="C69" s="430" t="str">
        <f>+'Cómp. y Presup.'!C73</f>
        <v>TR049</v>
      </c>
      <c r="D69" s="448">
        <f t="shared" si="0"/>
        <v>11.11</v>
      </c>
      <c r="E69" s="449" t="str">
        <f t="shared" si="1"/>
        <v>B2: 7,87 x 0,45</v>
      </c>
      <c r="F69" s="450" t="str">
        <f t="shared" si="3"/>
        <v>ud</v>
      </c>
      <c r="G69" s="451">
        <f t="shared" si="4"/>
        <v>1</v>
      </c>
      <c r="H69" s="452">
        <f>+'Cómp. y Presup.'!H73</f>
        <v>26191.899675325352</v>
      </c>
      <c r="I69" s="453">
        <f t="shared" si="6"/>
        <v>26191.899675325352</v>
      </c>
      <c r="J69" s="454">
        <f t="shared" si="7"/>
        <v>2.3467585414881534E-3</v>
      </c>
      <c r="K69" s="445"/>
      <c r="L69" s="445"/>
      <c r="M69" s="455">
        <f t="shared" si="72"/>
        <v>0</v>
      </c>
      <c r="N69" s="455">
        <f t="shared" si="73"/>
        <v>0</v>
      </c>
      <c r="O69" s="455">
        <f t="shared" si="74"/>
        <v>0</v>
      </c>
      <c r="P69" s="455">
        <f t="shared" si="75"/>
        <v>0</v>
      </c>
      <c r="Q69" s="455">
        <f t="shared" si="76"/>
        <v>0</v>
      </c>
      <c r="R69" s="455">
        <f t="shared" si="77"/>
        <v>0</v>
      </c>
      <c r="S69" s="455">
        <f t="shared" si="78"/>
        <v>0</v>
      </c>
      <c r="T69" s="455">
        <f t="shared" si="79"/>
        <v>0</v>
      </c>
      <c r="U69" s="455">
        <f t="shared" si="80"/>
        <v>2.3467585414881534E-3</v>
      </c>
      <c r="V69" s="456"/>
      <c r="W69" s="457"/>
      <c r="X69" s="458">
        <f t="shared" si="17"/>
        <v>0</v>
      </c>
      <c r="Y69" s="459"/>
      <c r="Z69" s="459"/>
      <c r="AA69" s="459"/>
      <c r="AB69" s="459"/>
      <c r="AC69" s="459"/>
      <c r="AD69" s="459"/>
      <c r="AE69" s="459"/>
      <c r="AF69" s="459"/>
      <c r="AG69" s="459">
        <v>1</v>
      </c>
      <c r="AH69" s="435">
        <f t="shared" si="60"/>
        <v>1</v>
      </c>
    </row>
    <row r="70" spans="2:34" s="435" customFormat="1">
      <c r="B70" s="430" t="str">
        <f>+'Cómp. y Presup.'!B74</f>
        <v>z081</v>
      </c>
      <c r="C70" s="430" t="str">
        <f>+'Cómp. y Presup.'!C74</f>
        <v>TR050</v>
      </c>
      <c r="D70" s="448">
        <f t="shared" si="0"/>
        <v>11.12</v>
      </c>
      <c r="E70" s="449" t="str">
        <f t="shared" si="1"/>
        <v>Estructura metalica para pergola</v>
      </c>
      <c r="F70" s="450" t="str">
        <f t="shared" si="3"/>
        <v>m2</v>
      </c>
      <c r="G70" s="451">
        <f t="shared" si="4"/>
        <v>87.5</v>
      </c>
      <c r="H70" s="452">
        <f>+'Cómp. y Presup.'!H74</f>
        <v>1840.1253336012817</v>
      </c>
      <c r="I70" s="453">
        <f t="shared" si="6"/>
        <v>161010.96669011214</v>
      </c>
      <c r="J70" s="454">
        <f t="shared" si="7"/>
        <v>1.44263633427571E-2</v>
      </c>
      <c r="K70" s="445"/>
      <c r="L70" s="445"/>
      <c r="M70" s="455">
        <f t="shared" si="72"/>
        <v>0</v>
      </c>
      <c r="N70" s="455">
        <f t="shared" si="73"/>
        <v>0</v>
      </c>
      <c r="O70" s="455">
        <f t="shared" si="74"/>
        <v>0</v>
      </c>
      <c r="P70" s="455">
        <f t="shared" si="75"/>
        <v>0</v>
      </c>
      <c r="Q70" s="455">
        <f t="shared" si="76"/>
        <v>0</v>
      </c>
      <c r="R70" s="455">
        <f t="shared" si="77"/>
        <v>0</v>
      </c>
      <c r="S70" s="455">
        <f t="shared" si="78"/>
        <v>0</v>
      </c>
      <c r="T70" s="455">
        <f t="shared" si="79"/>
        <v>0</v>
      </c>
      <c r="U70" s="455">
        <f t="shared" si="80"/>
        <v>1.44263633427571E-2</v>
      </c>
      <c r="V70" s="456"/>
      <c r="W70" s="457"/>
      <c r="X70" s="458">
        <f t="shared" si="17"/>
        <v>0</v>
      </c>
      <c r="Y70" s="459"/>
      <c r="Z70" s="459"/>
      <c r="AA70" s="459"/>
      <c r="AB70" s="459"/>
      <c r="AC70" s="459"/>
      <c r="AD70" s="459"/>
      <c r="AE70" s="459"/>
      <c r="AF70" s="459"/>
      <c r="AG70" s="459">
        <v>1</v>
      </c>
      <c r="AH70" s="435">
        <f t="shared" si="60"/>
        <v>1</v>
      </c>
    </row>
    <row r="71" spans="2:34" s="435" customFormat="1">
      <c r="B71" s="430" t="str">
        <f>+'Cómp. y Presup.'!B75</f>
        <v>z082</v>
      </c>
      <c r="C71" s="430">
        <f>+'Cómp. y Presup.'!C75</f>
        <v>0</v>
      </c>
      <c r="D71" s="448" t="str">
        <f t="shared" si="0"/>
        <v>RUBRO XII:</v>
      </c>
      <c r="E71" s="449" t="str">
        <f t="shared" si="1"/>
        <v>INSTALACIÓN ELÉCTRICA</v>
      </c>
      <c r="F71" s="466"/>
      <c r="G71" s="467"/>
      <c r="H71" s="468"/>
      <c r="I71" s="469"/>
      <c r="J71" s="470"/>
      <c r="K71" s="445"/>
      <c r="L71" s="445"/>
      <c r="M71" s="471"/>
      <c r="N71" s="472"/>
      <c r="O71" s="472"/>
      <c r="P71" s="472"/>
      <c r="Q71" s="472"/>
      <c r="R71" s="472"/>
      <c r="S71" s="472"/>
      <c r="T71" s="472"/>
      <c r="U71" s="473"/>
      <c r="V71" s="456"/>
      <c r="W71" s="457"/>
      <c r="X71" s="458">
        <f t="shared" si="17"/>
        <v>0</v>
      </c>
      <c r="Y71" s="459"/>
      <c r="Z71" s="459"/>
      <c r="AA71" s="459"/>
      <c r="AB71" s="459"/>
      <c r="AC71" s="459"/>
      <c r="AD71" s="459"/>
      <c r="AE71" s="459"/>
      <c r="AF71" s="459"/>
      <c r="AG71" s="459"/>
    </row>
    <row r="72" spans="2:34" s="435" customFormat="1">
      <c r="B72" s="430" t="str">
        <f>+'Cómp. y Presup.'!B76</f>
        <v>z083</v>
      </c>
      <c r="C72" s="430" t="str">
        <f>+'Cómp. y Presup.'!C76</f>
        <v>TR051</v>
      </c>
      <c r="D72" s="448">
        <f t="shared" si="0"/>
        <v>12.1</v>
      </c>
      <c r="E72" s="449" t="str">
        <f t="shared" si="1"/>
        <v>Colocacion de bocas , tendido de cañerias y conductores</v>
      </c>
      <c r="F72" s="450" t="str">
        <f t="shared" si="3"/>
        <v>ud</v>
      </c>
      <c r="G72" s="451">
        <f t="shared" si="4"/>
        <v>1</v>
      </c>
      <c r="H72" s="452">
        <f>+'Cómp. y Presup.'!H76</f>
        <v>564955.22613394668</v>
      </c>
      <c r="I72" s="453">
        <f t="shared" si="6"/>
        <v>564955.22613394668</v>
      </c>
      <c r="J72" s="454">
        <f t="shared" si="7"/>
        <v>5.0619218877705999E-2</v>
      </c>
      <c r="K72" s="445"/>
      <c r="L72" s="445"/>
      <c r="M72" s="455">
        <f t="shared" si="72"/>
        <v>0</v>
      </c>
      <c r="N72" s="455">
        <f t="shared" si="73"/>
        <v>0</v>
      </c>
      <c r="O72" s="455">
        <f t="shared" si="74"/>
        <v>0</v>
      </c>
      <c r="P72" s="455">
        <f t="shared" si="75"/>
        <v>1.0123843775541201E-2</v>
      </c>
      <c r="Q72" s="455">
        <f t="shared" si="76"/>
        <v>1.0123843775541201E-2</v>
      </c>
      <c r="R72" s="455">
        <f t="shared" si="77"/>
        <v>3.0371531326623596E-2</v>
      </c>
      <c r="S72" s="455">
        <f t="shared" si="78"/>
        <v>0</v>
      </c>
      <c r="T72" s="455">
        <f t="shared" si="79"/>
        <v>0</v>
      </c>
      <c r="U72" s="455">
        <f t="shared" si="80"/>
        <v>0</v>
      </c>
      <c r="V72" s="456"/>
      <c r="W72" s="457"/>
      <c r="X72" s="458">
        <f t="shared" si="17"/>
        <v>0</v>
      </c>
      <c r="Y72" s="459"/>
      <c r="Z72" s="459"/>
      <c r="AA72" s="459"/>
      <c r="AB72" s="459">
        <v>0.2</v>
      </c>
      <c r="AC72" s="459">
        <v>0.2</v>
      </c>
      <c r="AD72" s="459">
        <v>0.6</v>
      </c>
      <c r="AE72" s="459"/>
      <c r="AF72" s="459"/>
      <c r="AG72" s="459"/>
      <c r="AH72" s="435">
        <f>SUM(Y72:AG72)</f>
        <v>1</v>
      </c>
    </row>
    <row r="73" spans="2:34" s="435" customFormat="1">
      <c r="B73" s="430" t="str">
        <f>+'Cómp. y Presup.'!B77</f>
        <v>z084</v>
      </c>
      <c r="C73" s="430" t="str">
        <f>+'Cómp. y Presup.'!C77</f>
        <v>TR052</v>
      </c>
      <c r="D73" s="448">
        <f t="shared" si="0"/>
        <v>12.2</v>
      </c>
      <c r="E73" s="449" t="str">
        <f t="shared" si="1"/>
        <v>Medidor trifasico, pilastra y tablero de entrada</v>
      </c>
      <c r="F73" s="450" t="str">
        <f t="shared" si="3"/>
        <v>gl</v>
      </c>
      <c r="G73" s="451">
        <f t="shared" si="4"/>
        <v>1</v>
      </c>
      <c r="H73" s="452">
        <f>+'Cómp. y Presup.'!H77</f>
        <v>171229.3365072225</v>
      </c>
      <c r="I73" s="453">
        <f t="shared" si="6"/>
        <v>171229.3365072225</v>
      </c>
      <c r="J73" s="454">
        <f t="shared" si="7"/>
        <v>1.5341915362490108E-2</v>
      </c>
      <c r="K73" s="445"/>
      <c r="L73" s="445"/>
      <c r="M73" s="455">
        <f t="shared" si="72"/>
        <v>3.068383072498022E-3</v>
      </c>
      <c r="N73" s="455">
        <f t="shared" si="73"/>
        <v>0</v>
      </c>
      <c r="O73" s="455">
        <f t="shared" si="74"/>
        <v>0</v>
      </c>
      <c r="P73" s="455">
        <f t="shared" si="75"/>
        <v>0</v>
      </c>
      <c r="Q73" s="455">
        <f t="shared" si="76"/>
        <v>0</v>
      </c>
      <c r="R73" s="455">
        <f t="shared" si="77"/>
        <v>0</v>
      </c>
      <c r="S73" s="455">
        <f t="shared" si="78"/>
        <v>0</v>
      </c>
      <c r="T73" s="455">
        <f t="shared" si="79"/>
        <v>9.2051492174940654E-3</v>
      </c>
      <c r="U73" s="455">
        <f t="shared" si="80"/>
        <v>3.068383072498022E-3</v>
      </c>
      <c r="V73" s="456"/>
      <c r="W73" s="457"/>
      <c r="X73" s="458">
        <f t="shared" si="17"/>
        <v>0</v>
      </c>
      <c r="Y73" s="459">
        <v>0.2</v>
      </c>
      <c r="Z73" s="459"/>
      <c r="AA73" s="459"/>
      <c r="AB73" s="459"/>
      <c r="AC73" s="459"/>
      <c r="AD73" s="459"/>
      <c r="AE73" s="459"/>
      <c r="AF73" s="459">
        <v>0.6</v>
      </c>
      <c r="AG73" s="459">
        <v>0.2</v>
      </c>
      <c r="AH73" s="435">
        <f>SUM(Y73:AG73)</f>
        <v>1</v>
      </c>
    </row>
    <row r="74" spans="2:34" s="435" customFormat="1">
      <c r="B74" s="430" t="str">
        <f>+'Cómp. y Presup.'!B78</f>
        <v>z085</v>
      </c>
      <c r="C74" s="430">
        <f>+'Cómp. y Presup.'!C78</f>
        <v>0</v>
      </c>
      <c r="D74" s="448" t="str">
        <f t="shared" ref="D74:D95" si="81">VLOOKUP($B74,DATRUB,3,FALSE)</f>
        <v>RUBRO XIII:</v>
      </c>
      <c r="E74" s="449" t="str">
        <f t="shared" ref="E74:E95" si="82">VLOOKUP($B74,DATRUB,4,FALSE)</f>
        <v>INSTALACIÓN SANITARIA</v>
      </c>
      <c r="F74" s="466"/>
      <c r="G74" s="467"/>
      <c r="H74" s="468"/>
      <c r="I74" s="469"/>
      <c r="J74" s="470"/>
      <c r="K74" s="445"/>
      <c r="L74" s="445"/>
      <c r="M74" s="455">
        <f t="shared" si="72"/>
        <v>0</v>
      </c>
      <c r="N74" s="455">
        <f t="shared" si="73"/>
        <v>0</v>
      </c>
      <c r="O74" s="455">
        <f t="shared" si="74"/>
        <v>0</v>
      </c>
      <c r="P74" s="455">
        <f t="shared" si="75"/>
        <v>0</v>
      </c>
      <c r="Q74" s="455">
        <f t="shared" si="76"/>
        <v>0</v>
      </c>
      <c r="R74" s="455">
        <f t="shared" si="77"/>
        <v>0</v>
      </c>
      <c r="S74" s="455">
        <f t="shared" si="78"/>
        <v>0</v>
      </c>
      <c r="T74" s="455">
        <f t="shared" si="79"/>
        <v>0</v>
      </c>
      <c r="U74" s="455">
        <f t="shared" si="80"/>
        <v>0</v>
      </c>
      <c r="V74" s="456"/>
      <c r="W74" s="457"/>
      <c r="X74" s="458"/>
      <c r="Y74" s="459"/>
      <c r="Z74" s="459"/>
      <c r="AA74" s="459"/>
      <c r="AB74" s="459"/>
      <c r="AC74" s="459"/>
      <c r="AD74" s="459"/>
      <c r="AE74" s="459"/>
      <c r="AF74" s="459"/>
      <c r="AG74" s="459"/>
    </row>
    <row r="75" spans="2:34" s="435" customFormat="1">
      <c r="B75" s="430" t="str">
        <f>+'Cómp. y Presup.'!B79</f>
        <v>z086</v>
      </c>
      <c r="C75" s="430" t="str">
        <f>+'Cómp. y Presup.'!C79</f>
        <v>TR053</v>
      </c>
      <c r="D75" s="448">
        <f t="shared" si="81"/>
        <v>13.1</v>
      </c>
      <c r="E75" s="449" t="str">
        <f t="shared" si="82"/>
        <v>Cañerias Agua y Desagüe</v>
      </c>
      <c r="F75" s="450" t="str">
        <f t="shared" ref="F75:F95" si="83">VLOOKUP($B75,DATRUB,5,FALSE)</f>
        <v>ud</v>
      </c>
      <c r="G75" s="451">
        <f t="shared" ref="G75:G95" si="84">VLOOKUP($B75,DATRUB,6,FALSE)</f>
        <v>1</v>
      </c>
      <c r="H75" s="452">
        <f>+'Cómp. y Presup.'!H79</f>
        <v>88021.844724953742</v>
      </c>
      <c r="I75" s="453">
        <f t="shared" si="6"/>
        <v>88021.844724953742</v>
      </c>
      <c r="J75" s="454">
        <f t="shared" si="7"/>
        <v>7.8866374148656802E-3</v>
      </c>
      <c r="K75" s="445"/>
      <c r="L75" s="445"/>
      <c r="M75" s="455">
        <f t="shared" si="72"/>
        <v>0</v>
      </c>
      <c r="N75" s="455">
        <f t="shared" si="73"/>
        <v>0</v>
      </c>
      <c r="O75" s="455">
        <f t="shared" si="74"/>
        <v>0</v>
      </c>
      <c r="P75" s="455">
        <f t="shared" si="75"/>
        <v>1.5773274829731362E-3</v>
      </c>
      <c r="Q75" s="455">
        <f t="shared" si="76"/>
        <v>1.5773274829731362E-3</v>
      </c>
      <c r="R75" s="455">
        <f t="shared" si="77"/>
        <v>3.9433187074328401E-3</v>
      </c>
      <c r="S75" s="455">
        <f t="shared" si="78"/>
        <v>0</v>
      </c>
      <c r="T75" s="455">
        <f t="shared" si="79"/>
        <v>0</v>
      </c>
      <c r="U75" s="455">
        <f t="shared" si="80"/>
        <v>7.886637414865681E-4</v>
      </c>
      <c r="V75" s="456"/>
      <c r="W75" s="457"/>
      <c r="X75" s="458">
        <f t="shared" si="17"/>
        <v>0</v>
      </c>
      <c r="Y75" s="459"/>
      <c r="Z75" s="459"/>
      <c r="AA75" s="459"/>
      <c r="AB75" s="459">
        <v>0.2</v>
      </c>
      <c r="AC75" s="459">
        <v>0.2</v>
      </c>
      <c r="AD75" s="459">
        <v>0.5</v>
      </c>
      <c r="AE75" s="459"/>
      <c r="AF75" s="459"/>
      <c r="AG75" s="459">
        <v>0.1</v>
      </c>
      <c r="AH75" s="435">
        <f>SUM(Y75:AG75)</f>
        <v>1</v>
      </c>
    </row>
    <row r="76" spans="2:34" s="435" customFormat="1">
      <c r="B76" s="430" t="str">
        <f>+'Cómp. y Presup.'!B80</f>
        <v>z087</v>
      </c>
      <c r="C76" s="430" t="str">
        <f>+'Cómp. y Presup.'!C80</f>
        <v>TR054</v>
      </c>
      <c r="D76" s="448">
        <f t="shared" si="81"/>
        <v>13.2</v>
      </c>
      <c r="E76" s="449" t="str">
        <f t="shared" si="82"/>
        <v>Artefactos y accesorios</v>
      </c>
      <c r="F76" s="450" t="str">
        <f t="shared" si="83"/>
        <v>gl</v>
      </c>
      <c r="G76" s="451">
        <f t="shared" si="84"/>
        <v>1</v>
      </c>
      <c r="H76" s="452">
        <f>+'Cómp. y Presup.'!H80</f>
        <v>127111.57201421863</v>
      </c>
      <c r="I76" s="453">
        <f t="shared" ref="I76:I78" si="85">+H76*G76</f>
        <v>127111.57201421863</v>
      </c>
      <c r="J76" s="454">
        <f t="shared" ref="J76:J84" si="86">+I76/$I$97</f>
        <v>1.1389023745664934E-2</v>
      </c>
      <c r="K76" s="445"/>
      <c r="L76" s="445"/>
      <c r="M76" s="455">
        <f t="shared" ref="M76:M79" si="87">+$J76*Y76</f>
        <v>0</v>
      </c>
      <c r="N76" s="455">
        <f t="shared" ref="N76:N79" si="88">+$J76*Z76</f>
        <v>0</v>
      </c>
      <c r="O76" s="455">
        <f t="shared" ref="O76:O79" si="89">+$J76*AA76</f>
        <v>0</v>
      </c>
      <c r="P76" s="455">
        <f t="shared" ref="P76:P79" si="90">+$J76*AB76</f>
        <v>0</v>
      </c>
      <c r="Q76" s="455">
        <f t="shared" ref="Q76:Q79" si="91">+$J76*AC76</f>
        <v>0</v>
      </c>
      <c r="R76" s="455">
        <f t="shared" ref="R76:R79" si="92">+$J76*AD76</f>
        <v>0</v>
      </c>
      <c r="S76" s="455">
        <f t="shared" ref="S76:S79" si="93">+$J76*AE76</f>
        <v>0</v>
      </c>
      <c r="T76" s="455">
        <f t="shared" ref="T76:T79" si="94">+$J76*AF76</f>
        <v>0</v>
      </c>
      <c r="U76" s="455">
        <f t="shared" ref="U76:U79" si="95">+$J76*AG76</f>
        <v>1.1389023745664934E-2</v>
      </c>
      <c r="V76" s="456"/>
      <c r="W76" s="457"/>
      <c r="X76" s="458">
        <f t="shared" ref="X76:X95" si="96">SUM(M76:U76)-J76</f>
        <v>0</v>
      </c>
      <c r="Y76" s="459"/>
      <c r="Z76" s="459"/>
      <c r="AA76" s="459"/>
      <c r="AB76" s="459"/>
      <c r="AC76" s="459"/>
      <c r="AD76" s="459"/>
      <c r="AE76" s="459"/>
      <c r="AF76" s="459"/>
      <c r="AG76" s="459">
        <v>1</v>
      </c>
      <c r="AH76" s="435">
        <f>SUM(Y76:AG76)</f>
        <v>1</v>
      </c>
    </row>
    <row r="77" spans="2:34" s="435" customFormat="1">
      <c r="B77" s="430" t="str">
        <f>+'Cómp. y Presup.'!B81</f>
        <v>z088</v>
      </c>
      <c r="C77" s="430" t="str">
        <f>+'Cómp. y Presup.'!C81</f>
        <v>TR055</v>
      </c>
      <c r="D77" s="448">
        <f t="shared" si="81"/>
        <v>13.3</v>
      </c>
      <c r="E77" s="449" t="str">
        <f t="shared" si="82"/>
        <v>Tanque de reserva y bombeo</v>
      </c>
      <c r="F77" s="450" t="str">
        <f t="shared" si="83"/>
        <v>gl</v>
      </c>
      <c r="G77" s="451">
        <f t="shared" si="84"/>
        <v>1</v>
      </c>
      <c r="H77" s="452">
        <f>+'Cómp. y Presup.'!H81</f>
        <v>64625.848135354609</v>
      </c>
      <c r="I77" s="453">
        <f t="shared" si="85"/>
        <v>64625.848135354609</v>
      </c>
      <c r="J77" s="454">
        <f t="shared" si="86"/>
        <v>5.7903879822598535E-3</v>
      </c>
      <c r="K77" s="445"/>
      <c r="L77" s="445"/>
      <c r="M77" s="455">
        <f t="shared" si="87"/>
        <v>0</v>
      </c>
      <c r="N77" s="455">
        <f t="shared" si="88"/>
        <v>0</v>
      </c>
      <c r="O77" s="455">
        <f t="shared" si="89"/>
        <v>0</v>
      </c>
      <c r="P77" s="455">
        <f t="shared" si="90"/>
        <v>0</v>
      </c>
      <c r="Q77" s="455">
        <f t="shared" si="91"/>
        <v>2.8951939911299267E-3</v>
      </c>
      <c r="R77" s="455">
        <f t="shared" si="92"/>
        <v>2.3161551929039414E-3</v>
      </c>
      <c r="S77" s="455">
        <f t="shared" si="93"/>
        <v>0</v>
      </c>
      <c r="T77" s="455">
        <f t="shared" si="94"/>
        <v>0</v>
      </c>
      <c r="U77" s="455">
        <f t="shared" si="95"/>
        <v>5.7903879822598535E-4</v>
      </c>
      <c r="V77" s="456"/>
      <c r="W77" s="457"/>
      <c r="X77" s="458">
        <f t="shared" si="96"/>
        <v>0</v>
      </c>
      <c r="Y77" s="459"/>
      <c r="Z77" s="459"/>
      <c r="AA77" s="459"/>
      <c r="AB77" s="459"/>
      <c r="AC77" s="459">
        <v>0.5</v>
      </c>
      <c r="AD77" s="459">
        <v>0.4</v>
      </c>
      <c r="AE77" s="459"/>
      <c r="AF77" s="459"/>
      <c r="AG77" s="459">
        <v>0.1</v>
      </c>
      <c r="AH77" s="435">
        <f>SUM(Y77:AG77)</f>
        <v>1</v>
      </c>
    </row>
    <row r="78" spans="2:34" s="435" customFormat="1">
      <c r="B78" s="430" t="str">
        <f>+'Cómp. y Presup.'!B82</f>
        <v>z089</v>
      </c>
      <c r="C78" s="430" t="str">
        <f>+'Cómp. y Presup.'!C82</f>
        <v>TR056</v>
      </c>
      <c r="D78" s="448">
        <f t="shared" si="81"/>
        <v>13.4</v>
      </c>
      <c r="E78" s="449" t="str">
        <f t="shared" si="82"/>
        <v>Conexión de Agua F 19 mm</v>
      </c>
      <c r="F78" s="450" t="str">
        <f t="shared" si="83"/>
        <v>gl</v>
      </c>
      <c r="G78" s="451">
        <f t="shared" si="84"/>
        <v>1</v>
      </c>
      <c r="H78" s="452">
        <f>+'Cómp. y Presup.'!H82</f>
        <v>12297.745927294749</v>
      </c>
      <c r="I78" s="453">
        <f t="shared" si="85"/>
        <v>12297.745927294749</v>
      </c>
      <c r="J78" s="454">
        <f t="shared" si="86"/>
        <v>1.1018612874085702E-3</v>
      </c>
      <c r="K78" s="445"/>
      <c r="L78" s="445"/>
      <c r="M78" s="455">
        <f t="shared" si="87"/>
        <v>2.2037225748171405E-4</v>
      </c>
      <c r="N78" s="455">
        <f t="shared" si="88"/>
        <v>0</v>
      </c>
      <c r="O78" s="455">
        <f t="shared" si="89"/>
        <v>0</v>
      </c>
      <c r="P78" s="455">
        <f t="shared" si="90"/>
        <v>0</v>
      </c>
      <c r="Q78" s="455">
        <f t="shared" si="91"/>
        <v>0</v>
      </c>
      <c r="R78" s="455">
        <f t="shared" si="92"/>
        <v>0</v>
      </c>
      <c r="S78" s="455">
        <f t="shared" si="93"/>
        <v>0</v>
      </c>
      <c r="T78" s="455">
        <f t="shared" si="94"/>
        <v>0</v>
      </c>
      <c r="U78" s="455">
        <f t="shared" si="95"/>
        <v>8.8148902992685619E-4</v>
      </c>
      <c r="V78" s="456"/>
      <c r="W78" s="457"/>
      <c r="X78" s="458">
        <f t="shared" si="96"/>
        <v>0</v>
      </c>
      <c r="Y78" s="459">
        <v>0.2</v>
      </c>
      <c r="Z78" s="459"/>
      <c r="AA78" s="459"/>
      <c r="AB78" s="459"/>
      <c r="AC78" s="459"/>
      <c r="AD78" s="459"/>
      <c r="AE78" s="459"/>
      <c r="AF78" s="459"/>
      <c r="AG78" s="459">
        <v>0.8</v>
      </c>
      <c r="AH78" s="435">
        <f>SUM(Y78:AG78)</f>
        <v>1</v>
      </c>
    </row>
    <row r="79" spans="2:34" s="435" customFormat="1">
      <c r="B79" s="430" t="str">
        <f>+'Cómp. y Presup.'!B83</f>
        <v>z090</v>
      </c>
      <c r="C79" s="430" t="str">
        <f>+'Cómp. y Presup.'!C83</f>
        <v>TR057</v>
      </c>
      <c r="D79" s="448">
        <f t="shared" si="81"/>
        <v>13.5</v>
      </c>
      <c r="E79" s="449" t="str">
        <f t="shared" si="82"/>
        <v>Conexión  a Pozo Absorvente</v>
      </c>
      <c r="F79" s="450" t="str">
        <f t="shared" si="83"/>
        <v>gl</v>
      </c>
      <c r="G79" s="451">
        <f t="shared" si="84"/>
        <v>1</v>
      </c>
      <c r="H79" s="452">
        <f>+'Cómp. y Presup.'!H83</f>
        <v>131733.99653126075</v>
      </c>
      <c r="I79" s="453">
        <f>+H79*G79</f>
        <v>131733.99653126075</v>
      </c>
      <c r="J79" s="454">
        <f t="shared" si="86"/>
        <v>1.1803186687346182E-2</v>
      </c>
      <c r="K79" s="445"/>
      <c r="L79" s="445"/>
      <c r="M79" s="455">
        <f t="shared" si="87"/>
        <v>0</v>
      </c>
      <c r="N79" s="455">
        <f t="shared" si="88"/>
        <v>1.1803186687346182E-2</v>
      </c>
      <c r="O79" s="455">
        <f t="shared" si="89"/>
        <v>0</v>
      </c>
      <c r="P79" s="455">
        <f t="shared" si="90"/>
        <v>0</v>
      </c>
      <c r="Q79" s="455">
        <f t="shared" si="91"/>
        <v>0</v>
      </c>
      <c r="R79" s="455">
        <f t="shared" si="92"/>
        <v>0</v>
      </c>
      <c r="S79" s="455">
        <f t="shared" si="93"/>
        <v>0</v>
      </c>
      <c r="T79" s="455">
        <f t="shared" si="94"/>
        <v>0</v>
      </c>
      <c r="U79" s="455">
        <f t="shared" si="95"/>
        <v>0</v>
      </c>
      <c r="V79" s="456"/>
      <c r="W79" s="457"/>
      <c r="X79" s="458">
        <f t="shared" si="96"/>
        <v>0</v>
      </c>
      <c r="Y79" s="459"/>
      <c r="Z79" s="459">
        <v>1</v>
      </c>
      <c r="AA79" s="459"/>
      <c r="AB79" s="459"/>
      <c r="AC79" s="459"/>
      <c r="AD79" s="459"/>
      <c r="AE79" s="459"/>
      <c r="AF79" s="459"/>
      <c r="AG79" s="459"/>
      <c r="AH79" s="435">
        <f>SUM(Y79:AG79)</f>
        <v>1</v>
      </c>
    </row>
    <row r="80" spans="2:34" s="435" customFormat="1">
      <c r="B80" s="430" t="str">
        <f>+'Cómp. y Presup.'!B84</f>
        <v>z091</v>
      </c>
      <c r="C80" s="430">
        <f>+'Cómp. y Presup.'!C84</f>
        <v>0</v>
      </c>
      <c r="D80" s="448" t="str">
        <f t="shared" si="81"/>
        <v>RUBRO XIV:</v>
      </c>
      <c r="E80" s="449" t="str">
        <f t="shared" si="82"/>
        <v>INSTALACION de GAS</v>
      </c>
      <c r="F80" s="480"/>
      <c r="G80" s="481"/>
      <c r="H80" s="482"/>
      <c r="I80" s="483"/>
      <c r="J80" s="484"/>
      <c r="K80" s="445"/>
      <c r="L80" s="445"/>
      <c r="M80" s="485"/>
      <c r="N80" s="486"/>
      <c r="O80" s="486"/>
      <c r="P80" s="486"/>
      <c r="Q80" s="486"/>
      <c r="R80" s="486"/>
      <c r="S80" s="486"/>
      <c r="T80" s="486"/>
      <c r="U80" s="487"/>
      <c r="V80" s="456"/>
      <c r="W80" s="457"/>
      <c r="X80" s="458"/>
      <c r="Y80" s="459"/>
      <c r="Z80" s="459"/>
      <c r="AA80" s="459"/>
      <c r="AB80" s="459"/>
      <c r="AC80" s="459"/>
      <c r="AD80" s="459"/>
      <c r="AE80" s="459"/>
      <c r="AF80" s="459"/>
      <c r="AG80" s="459"/>
    </row>
    <row r="81" spans="2:34" s="435" customFormat="1">
      <c r="B81" s="430" t="str">
        <f>+'Cómp. y Presup.'!B85</f>
        <v>z092</v>
      </c>
      <c r="C81" s="430">
        <f>+'Cómp. y Presup.'!C85</f>
        <v>0</v>
      </c>
      <c r="D81" s="448" t="str">
        <f t="shared" si="81"/>
        <v>RUBRO XV:</v>
      </c>
      <c r="E81" s="449" t="str">
        <f t="shared" si="82"/>
        <v>SEGURIDAD</v>
      </c>
      <c r="F81" s="488"/>
      <c r="G81" s="489"/>
      <c r="H81" s="490"/>
      <c r="I81" s="491"/>
      <c r="J81" s="492"/>
      <c r="K81" s="445"/>
      <c r="L81" s="445"/>
      <c r="M81" s="493"/>
      <c r="N81" s="494"/>
      <c r="O81" s="494"/>
      <c r="P81" s="494"/>
      <c r="Q81" s="494"/>
      <c r="R81" s="494"/>
      <c r="S81" s="494"/>
      <c r="T81" s="494"/>
      <c r="U81" s="495"/>
      <c r="V81" s="456"/>
      <c r="W81" s="457"/>
      <c r="X81" s="458"/>
      <c r="Y81" s="459"/>
      <c r="Z81" s="459"/>
      <c r="AA81" s="459"/>
      <c r="AB81" s="459"/>
      <c r="AC81" s="459"/>
      <c r="AD81" s="459"/>
      <c r="AE81" s="459"/>
      <c r="AF81" s="459"/>
      <c r="AG81" s="459"/>
    </row>
    <row r="82" spans="2:34" s="435" customFormat="1">
      <c r="B82" s="430" t="str">
        <f>+'Cómp. y Presup.'!B86</f>
        <v>z093</v>
      </c>
      <c r="C82" s="430" t="str">
        <f>+'Cómp. y Presup.'!C86</f>
        <v>TR058</v>
      </c>
      <c r="D82" s="448">
        <f t="shared" si="81"/>
        <v>15.1</v>
      </c>
      <c r="E82" s="449" t="str">
        <f t="shared" si="82"/>
        <v>CONTRA INCENDIO - Matafuegos ABC 5kg Colocado - Sello IRAM</v>
      </c>
      <c r="F82" s="450" t="str">
        <f t="shared" si="83"/>
        <v>ud</v>
      </c>
      <c r="G82" s="451">
        <f t="shared" si="84"/>
        <v>1</v>
      </c>
      <c r="H82" s="452">
        <f>+'Cómp. y Presup.'!H86</f>
        <v>6278.6549485800524</v>
      </c>
      <c r="I82" s="453">
        <f t="shared" ref="I82:I90" si="97">+H82*G82</f>
        <v>6278.6549485800524</v>
      </c>
      <c r="J82" s="454">
        <f t="shared" si="86"/>
        <v>5.6255893281074391E-4</v>
      </c>
      <c r="K82" s="445"/>
      <c r="L82" s="445"/>
      <c r="M82" s="496">
        <f t="shared" ref="M82:M91" si="98">+$J82*Y82</f>
        <v>0</v>
      </c>
      <c r="N82" s="496">
        <f t="shared" ref="N82:N91" si="99">+$J82*Z82</f>
        <v>0</v>
      </c>
      <c r="O82" s="496">
        <f t="shared" ref="O82:O91" si="100">+$J82*AA82</f>
        <v>0</v>
      </c>
      <c r="P82" s="496">
        <f t="shared" ref="P82:P91" si="101">+$J82*AB82</f>
        <v>0</v>
      </c>
      <c r="Q82" s="496">
        <f t="shared" ref="Q82:Q91" si="102">+$J82*AC82</f>
        <v>0</v>
      </c>
      <c r="R82" s="496">
        <f t="shared" ref="R82:R91" si="103">+$J82*AD82</f>
        <v>0</v>
      </c>
      <c r="S82" s="496">
        <f t="shared" ref="S82:S91" si="104">+$J82*AE82</f>
        <v>0</v>
      </c>
      <c r="T82" s="496">
        <f t="shared" ref="T82:T91" si="105">+$J82*AF82</f>
        <v>0</v>
      </c>
      <c r="U82" s="496">
        <f t="shared" ref="U82:U91" si="106">+$J82*AG82</f>
        <v>5.6255893281074391E-4</v>
      </c>
      <c r="V82" s="456"/>
      <c r="W82" s="457"/>
      <c r="X82" s="458">
        <f t="shared" si="96"/>
        <v>0</v>
      </c>
      <c r="Y82" s="459"/>
      <c r="Z82" s="459"/>
      <c r="AA82" s="459"/>
      <c r="AB82" s="459"/>
      <c r="AC82" s="459"/>
      <c r="AD82" s="459"/>
      <c r="AE82" s="459"/>
      <c r="AF82" s="459"/>
      <c r="AG82" s="459">
        <v>1</v>
      </c>
      <c r="AH82" s="435">
        <f>SUM(Y82:AG82)</f>
        <v>1</v>
      </c>
    </row>
    <row r="83" spans="2:34" s="435" customFormat="1">
      <c r="B83" s="430" t="str">
        <f>+'Cómp. y Presup.'!B87</f>
        <v>z094</v>
      </c>
      <c r="C83" s="430" t="str">
        <f>+'Cómp. y Presup.'!C87</f>
        <v>TR059</v>
      </c>
      <c r="D83" s="448">
        <f t="shared" si="81"/>
        <v>15.2</v>
      </c>
      <c r="E83" s="449" t="str">
        <f t="shared" si="82"/>
        <v>CONTRA INCENDIO - Iluminacion de emergencia</v>
      </c>
      <c r="F83" s="450" t="str">
        <f t="shared" si="83"/>
        <v>gl</v>
      </c>
      <c r="G83" s="451">
        <f t="shared" si="84"/>
        <v>1</v>
      </c>
      <c r="H83" s="452">
        <f>+'Cómp. y Presup.'!H87</f>
        <v>16504.21090295224</v>
      </c>
      <c r="I83" s="453">
        <f t="shared" si="97"/>
        <v>16504.21090295224</v>
      </c>
      <c r="J83" s="454">
        <f t="shared" si="86"/>
        <v>1.4787548206559769E-3</v>
      </c>
      <c r="K83" s="445"/>
      <c r="L83" s="445"/>
      <c r="M83" s="455">
        <f t="shared" si="98"/>
        <v>0</v>
      </c>
      <c r="N83" s="455">
        <f t="shared" si="99"/>
        <v>0</v>
      </c>
      <c r="O83" s="455">
        <f t="shared" si="100"/>
        <v>0</v>
      </c>
      <c r="P83" s="455">
        <f t="shared" si="101"/>
        <v>0</v>
      </c>
      <c r="Q83" s="455">
        <f t="shared" si="102"/>
        <v>0</v>
      </c>
      <c r="R83" s="455">
        <f t="shared" si="103"/>
        <v>0</v>
      </c>
      <c r="S83" s="455">
        <f t="shared" si="104"/>
        <v>0</v>
      </c>
      <c r="T83" s="455">
        <f t="shared" si="105"/>
        <v>0</v>
      </c>
      <c r="U83" s="455">
        <f t="shared" si="106"/>
        <v>1.4787548206559769E-3</v>
      </c>
      <c r="V83" s="456"/>
      <c r="W83" s="457"/>
      <c r="X83" s="458">
        <f t="shared" si="96"/>
        <v>0</v>
      </c>
      <c r="Y83" s="459"/>
      <c r="Z83" s="459"/>
      <c r="AA83" s="459"/>
      <c r="AB83" s="459"/>
      <c r="AC83" s="459"/>
      <c r="AD83" s="459"/>
      <c r="AE83" s="459"/>
      <c r="AF83" s="459"/>
      <c r="AG83" s="459">
        <v>1</v>
      </c>
      <c r="AH83" s="435">
        <f>SUM(Y83:AG83)</f>
        <v>1</v>
      </c>
    </row>
    <row r="84" spans="2:34" s="435" customFormat="1">
      <c r="B84" s="430" t="str">
        <f>+'Cómp. y Presup.'!B88</f>
        <v>z095</v>
      </c>
      <c r="C84" s="430" t="str">
        <f>+'Cómp. y Presup.'!C88</f>
        <v>TR060</v>
      </c>
      <c r="D84" s="448">
        <f t="shared" si="81"/>
        <v>15.3</v>
      </c>
      <c r="E84" s="449" t="str">
        <f t="shared" si="82"/>
        <v>CONTRA INCENDIO - Carteleria</v>
      </c>
      <c r="F84" s="450" t="str">
        <f t="shared" si="83"/>
        <v>gl</v>
      </c>
      <c r="G84" s="451">
        <f t="shared" si="84"/>
        <v>1</v>
      </c>
      <c r="H84" s="452">
        <f>+'Cómp. y Presup.'!H88</f>
        <v>20788.934297610867</v>
      </c>
      <c r="I84" s="453">
        <f t="shared" si="97"/>
        <v>20788.934297610867</v>
      </c>
      <c r="J84" s="454">
        <f t="shared" si="86"/>
        <v>1.8626602016697099E-3</v>
      </c>
      <c r="K84" s="445"/>
      <c r="L84" s="445"/>
      <c r="M84" s="455">
        <f t="shared" si="98"/>
        <v>0</v>
      </c>
      <c r="N84" s="455">
        <f t="shared" si="99"/>
        <v>0</v>
      </c>
      <c r="O84" s="455">
        <f t="shared" si="100"/>
        <v>0</v>
      </c>
      <c r="P84" s="455">
        <f t="shared" si="101"/>
        <v>0</v>
      </c>
      <c r="Q84" s="455">
        <f t="shared" si="102"/>
        <v>0</v>
      </c>
      <c r="R84" s="455">
        <f t="shared" si="103"/>
        <v>0</v>
      </c>
      <c r="S84" s="455">
        <f t="shared" si="104"/>
        <v>0</v>
      </c>
      <c r="T84" s="455">
        <f t="shared" si="105"/>
        <v>0</v>
      </c>
      <c r="U84" s="455">
        <f t="shared" si="106"/>
        <v>1.8626602016697099E-3</v>
      </c>
      <c r="V84" s="456"/>
      <c r="W84" s="457"/>
      <c r="X84" s="458">
        <f t="shared" si="96"/>
        <v>0</v>
      </c>
      <c r="Y84" s="459"/>
      <c r="Z84" s="459"/>
      <c r="AA84" s="459"/>
      <c r="AB84" s="459"/>
      <c r="AC84" s="459"/>
      <c r="AD84" s="459"/>
      <c r="AE84" s="459"/>
      <c r="AF84" s="459"/>
      <c r="AG84" s="459">
        <v>1</v>
      </c>
      <c r="AH84" s="435">
        <f t="shared" ref="AH84:AH95" si="107">SUM(Y84:AG84)</f>
        <v>1</v>
      </c>
    </row>
    <row r="85" spans="2:34" s="435" customFormat="1">
      <c r="B85" s="430" t="str">
        <f>+'Cómp. y Presup.'!B89</f>
        <v>z096</v>
      </c>
      <c r="C85" s="430">
        <f>+'Cómp. y Presup.'!C89</f>
        <v>0</v>
      </c>
      <c r="D85" s="448" t="str">
        <f t="shared" si="81"/>
        <v>RUBRO XVI:</v>
      </c>
      <c r="E85" s="449" t="str">
        <f t="shared" si="82"/>
        <v>TERMOMECÁNICA</v>
      </c>
      <c r="F85" s="480"/>
      <c r="G85" s="481"/>
      <c r="H85" s="482"/>
      <c r="I85" s="483"/>
      <c r="J85" s="484"/>
      <c r="K85" s="445"/>
      <c r="L85" s="445"/>
      <c r="M85" s="485"/>
      <c r="N85" s="486"/>
      <c r="O85" s="486"/>
      <c r="P85" s="486"/>
      <c r="Q85" s="486"/>
      <c r="R85" s="486"/>
      <c r="S85" s="486"/>
      <c r="T85" s="486"/>
      <c r="U85" s="487"/>
      <c r="V85" s="456"/>
      <c r="W85" s="457"/>
      <c r="X85" s="458"/>
      <c r="Y85" s="459"/>
      <c r="Z85" s="459"/>
      <c r="AA85" s="459"/>
      <c r="AB85" s="459"/>
      <c r="AC85" s="459"/>
      <c r="AD85" s="459"/>
      <c r="AE85" s="459"/>
      <c r="AF85" s="459"/>
      <c r="AG85" s="459"/>
    </row>
    <row r="86" spans="2:34" s="435" customFormat="1">
      <c r="B86" s="430" t="str">
        <f>+'Cómp. y Presup.'!B90</f>
        <v>z097</v>
      </c>
      <c r="C86" s="430">
        <f>+'Cómp. y Presup.'!C90</f>
        <v>0</v>
      </c>
      <c r="D86" s="448" t="str">
        <f t="shared" si="81"/>
        <v>RUBRO XVII:</v>
      </c>
      <c r="E86" s="449" t="str">
        <f t="shared" si="82"/>
        <v>VIDRIOS y ESPEJOS</v>
      </c>
      <c r="F86" s="497"/>
      <c r="G86" s="498"/>
      <c r="H86" s="499"/>
      <c r="I86" s="500"/>
      <c r="J86" s="501"/>
      <c r="K86" s="445"/>
      <c r="L86" s="445"/>
      <c r="M86" s="502"/>
      <c r="N86" s="503"/>
      <c r="O86" s="503"/>
      <c r="P86" s="503"/>
      <c r="Q86" s="503"/>
      <c r="R86" s="503"/>
      <c r="S86" s="503"/>
      <c r="T86" s="503"/>
      <c r="U86" s="504"/>
      <c r="V86" s="456"/>
      <c r="W86" s="457"/>
      <c r="X86" s="458"/>
      <c r="Y86" s="459"/>
      <c r="Z86" s="459"/>
      <c r="AA86" s="459"/>
      <c r="AB86" s="459"/>
      <c r="AC86" s="459"/>
      <c r="AD86" s="459"/>
      <c r="AE86" s="459"/>
      <c r="AF86" s="459"/>
      <c r="AG86" s="459"/>
    </row>
    <row r="87" spans="2:34" s="435" customFormat="1">
      <c r="B87" s="430" t="str">
        <f>+'Cómp. y Presup.'!B91</f>
        <v>z098</v>
      </c>
      <c r="C87" s="430">
        <f>+'Cómp. y Presup.'!C91</f>
        <v>0</v>
      </c>
      <c r="D87" s="448" t="str">
        <f t="shared" si="81"/>
        <v>RUBRO XVIII:</v>
      </c>
      <c r="E87" s="449" t="str">
        <f t="shared" si="82"/>
        <v>PINTURAS</v>
      </c>
      <c r="F87" s="488"/>
      <c r="G87" s="489"/>
      <c r="H87" s="490"/>
      <c r="I87" s="491"/>
      <c r="J87" s="492"/>
      <c r="K87" s="445"/>
      <c r="L87" s="445"/>
      <c r="M87" s="493"/>
      <c r="N87" s="494"/>
      <c r="O87" s="494"/>
      <c r="P87" s="494"/>
      <c r="Q87" s="494"/>
      <c r="R87" s="494"/>
      <c r="S87" s="494"/>
      <c r="T87" s="494"/>
      <c r="U87" s="495"/>
      <c r="V87" s="456"/>
      <c r="W87" s="457"/>
      <c r="X87" s="458"/>
      <c r="Y87" s="459"/>
      <c r="Z87" s="459"/>
      <c r="AA87" s="459"/>
      <c r="AB87" s="459"/>
      <c r="AC87" s="459"/>
      <c r="AD87" s="459"/>
      <c r="AE87" s="459"/>
      <c r="AF87" s="459"/>
      <c r="AG87" s="459"/>
    </row>
    <row r="88" spans="2:34" s="435" customFormat="1">
      <c r="B88" s="430" t="str">
        <f>+'Cómp. y Presup.'!B92</f>
        <v>z099</v>
      </c>
      <c r="C88" s="430" t="str">
        <f>+'Cómp. y Presup.'!C92</f>
        <v>TR061</v>
      </c>
      <c r="D88" s="448">
        <f t="shared" si="81"/>
        <v>18.100000000000001</v>
      </c>
      <c r="E88" s="449" t="str">
        <f t="shared" si="82"/>
        <v>Pintura al látex en muros interiores</v>
      </c>
      <c r="F88" s="450" t="str">
        <f t="shared" si="83"/>
        <v>m2</v>
      </c>
      <c r="G88" s="451">
        <f t="shared" si="84"/>
        <v>842.66000000000008</v>
      </c>
      <c r="H88" s="452">
        <f>+'Cómp. y Presup.'!H92</f>
        <v>334.73512683226312</v>
      </c>
      <c r="I88" s="453">
        <f t="shared" si="97"/>
        <v>282067.90197647485</v>
      </c>
      <c r="J88" s="454">
        <f t="shared" ref="J88:J95" si="108">+I88/$I$97</f>
        <v>2.5272899883109108E-2</v>
      </c>
      <c r="K88" s="445"/>
      <c r="L88" s="445"/>
      <c r="M88" s="455">
        <f t="shared" si="98"/>
        <v>0</v>
      </c>
      <c r="N88" s="455">
        <f t="shared" si="99"/>
        <v>0</v>
      </c>
      <c r="O88" s="455">
        <f t="shared" si="100"/>
        <v>0</v>
      </c>
      <c r="P88" s="455">
        <f t="shared" si="101"/>
        <v>0</v>
      </c>
      <c r="Q88" s="455">
        <f t="shared" si="102"/>
        <v>0</v>
      </c>
      <c r="R88" s="455">
        <f t="shared" si="103"/>
        <v>0</v>
      </c>
      <c r="S88" s="455">
        <f t="shared" si="104"/>
        <v>0</v>
      </c>
      <c r="T88" s="455">
        <f t="shared" si="105"/>
        <v>2.0218319906487286E-2</v>
      </c>
      <c r="U88" s="455">
        <f t="shared" si="106"/>
        <v>5.0545799766218216E-3</v>
      </c>
      <c r="V88" s="456"/>
      <c r="W88" s="457"/>
      <c r="X88" s="458">
        <f t="shared" si="96"/>
        <v>0</v>
      </c>
      <c r="Y88" s="459"/>
      <c r="Z88" s="459"/>
      <c r="AA88" s="459"/>
      <c r="AB88" s="459"/>
      <c r="AC88" s="459"/>
      <c r="AD88" s="459"/>
      <c r="AE88" s="459"/>
      <c r="AF88" s="459">
        <v>0.8</v>
      </c>
      <c r="AG88" s="459">
        <v>0.2</v>
      </c>
      <c r="AH88" s="435">
        <f t="shared" si="107"/>
        <v>1</v>
      </c>
    </row>
    <row r="89" spans="2:34" s="435" customFormat="1">
      <c r="B89" s="430" t="str">
        <f>+'Cómp. y Presup.'!B93</f>
        <v>z100</v>
      </c>
      <c r="C89" s="430" t="str">
        <f>+'Cómp. y Presup.'!C93</f>
        <v>TR062</v>
      </c>
      <c r="D89" s="448">
        <f t="shared" si="81"/>
        <v>18.2</v>
      </c>
      <c r="E89" s="449" t="str">
        <f t="shared" si="82"/>
        <v>Curador acrilico transparente</v>
      </c>
      <c r="F89" s="450" t="str">
        <f t="shared" si="83"/>
        <v>m2</v>
      </c>
      <c r="G89" s="451">
        <f t="shared" si="84"/>
        <v>640</v>
      </c>
      <c r="H89" s="452">
        <f>+'Cómp. y Presup.'!H93</f>
        <v>313.58448898389952</v>
      </c>
      <c r="I89" s="453">
        <f t="shared" si="97"/>
        <v>200694.07294969569</v>
      </c>
      <c r="J89" s="454">
        <f t="shared" si="108"/>
        <v>1.7981915621204155E-2</v>
      </c>
      <c r="K89" s="445"/>
      <c r="L89" s="445"/>
      <c r="M89" s="455">
        <f t="shared" si="98"/>
        <v>0</v>
      </c>
      <c r="N89" s="455">
        <f t="shared" si="99"/>
        <v>0</v>
      </c>
      <c r="O89" s="455">
        <f t="shared" si="100"/>
        <v>0</v>
      </c>
      <c r="P89" s="455">
        <f t="shared" si="101"/>
        <v>0</v>
      </c>
      <c r="Q89" s="455">
        <f t="shared" si="102"/>
        <v>0</v>
      </c>
      <c r="R89" s="455">
        <f t="shared" si="103"/>
        <v>0</v>
      </c>
      <c r="S89" s="455">
        <f t="shared" si="104"/>
        <v>0</v>
      </c>
      <c r="T89" s="455">
        <f t="shared" si="105"/>
        <v>1.4385532496963324E-2</v>
      </c>
      <c r="U89" s="455">
        <f t="shared" si="106"/>
        <v>3.596383124240831E-3</v>
      </c>
      <c r="V89" s="456"/>
      <c r="W89" s="457"/>
      <c r="X89" s="458">
        <f t="shared" si="96"/>
        <v>0</v>
      </c>
      <c r="Y89" s="459"/>
      <c r="Z89" s="459"/>
      <c r="AA89" s="459"/>
      <c r="AB89" s="459"/>
      <c r="AC89" s="459"/>
      <c r="AD89" s="459"/>
      <c r="AE89" s="459"/>
      <c r="AF89" s="459">
        <v>0.8</v>
      </c>
      <c r="AG89" s="459">
        <v>0.2</v>
      </c>
      <c r="AH89" s="435">
        <f t="shared" si="107"/>
        <v>1</v>
      </c>
    </row>
    <row r="90" spans="2:34" s="435" customFormat="1">
      <c r="B90" s="430" t="str">
        <f>+'Cómp. y Presup.'!B94</f>
        <v>z101</v>
      </c>
      <c r="C90" s="430" t="str">
        <f>+'Cómp. y Presup.'!C94</f>
        <v>TR063</v>
      </c>
      <c r="D90" s="448">
        <f t="shared" si="81"/>
        <v>18.3</v>
      </c>
      <c r="E90" s="449" t="str">
        <f t="shared" si="82"/>
        <v>Pintura al Latex para exteriores primera calidad color a definir</v>
      </c>
      <c r="F90" s="450" t="str">
        <f t="shared" si="83"/>
        <v>m2</v>
      </c>
      <c r="G90" s="451">
        <f t="shared" si="84"/>
        <v>297</v>
      </c>
      <c r="H90" s="452">
        <f>+'Cómp. y Presup.'!H94</f>
        <v>334.73512683226312</v>
      </c>
      <c r="I90" s="453">
        <f t="shared" si="97"/>
        <v>99416.332669182142</v>
      </c>
      <c r="J90" s="454">
        <f t="shared" si="108"/>
        <v>8.9075680170927832E-3</v>
      </c>
      <c r="K90" s="445"/>
      <c r="L90" s="445"/>
      <c r="M90" s="455">
        <f t="shared" si="98"/>
        <v>0</v>
      </c>
      <c r="N90" s="455">
        <f t="shared" si="99"/>
        <v>0</v>
      </c>
      <c r="O90" s="455">
        <f t="shared" si="100"/>
        <v>0</v>
      </c>
      <c r="P90" s="455">
        <f t="shared" si="101"/>
        <v>0</v>
      </c>
      <c r="Q90" s="455">
        <f t="shared" si="102"/>
        <v>0</v>
      </c>
      <c r="R90" s="455">
        <f t="shared" si="103"/>
        <v>0</v>
      </c>
      <c r="S90" s="455">
        <f t="shared" si="104"/>
        <v>0</v>
      </c>
      <c r="T90" s="455">
        <f t="shared" si="105"/>
        <v>7.1260544136742265E-3</v>
      </c>
      <c r="U90" s="455">
        <f t="shared" si="106"/>
        <v>1.7815136034185566E-3</v>
      </c>
      <c r="V90" s="456"/>
      <c r="W90" s="457"/>
      <c r="X90" s="458">
        <f t="shared" si="96"/>
        <v>0</v>
      </c>
      <c r="Y90" s="459"/>
      <c r="Z90" s="459"/>
      <c r="AA90" s="459"/>
      <c r="AB90" s="459"/>
      <c r="AC90" s="459"/>
      <c r="AD90" s="459"/>
      <c r="AE90" s="459"/>
      <c r="AF90" s="459">
        <v>0.8</v>
      </c>
      <c r="AG90" s="459">
        <v>0.2</v>
      </c>
      <c r="AH90" s="435">
        <f t="shared" si="107"/>
        <v>1</v>
      </c>
    </row>
    <row r="91" spans="2:34" s="435" customFormat="1">
      <c r="B91" s="430" t="str">
        <f>+'Cómp. y Presup.'!B95</f>
        <v>z102</v>
      </c>
      <c r="C91" s="430" t="str">
        <f>+'Cómp. y Presup.'!C95</f>
        <v>TR064</v>
      </c>
      <c r="D91" s="448">
        <f t="shared" si="81"/>
        <v>18.399999999999999</v>
      </c>
      <c r="E91" s="449" t="str">
        <f t="shared" si="82"/>
        <v>Esmalte Sintetico en Carpinterias</v>
      </c>
      <c r="F91" s="450" t="str">
        <f t="shared" si="83"/>
        <v>m2</v>
      </c>
      <c r="G91" s="451">
        <f t="shared" si="84"/>
        <v>20</v>
      </c>
      <c r="H91" s="452">
        <f>+'Cómp. y Presup.'!H95</f>
        <v>326.66858441530445</v>
      </c>
      <c r="I91" s="453">
        <f>+H91*G91</f>
        <v>6533.3716883060888</v>
      </c>
      <c r="J91" s="454">
        <f t="shared" si="108"/>
        <v>5.8538120580437576E-4</v>
      </c>
      <c r="K91" s="445"/>
      <c r="L91" s="445"/>
      <c r="M91" s="455">
        <f t="shared" si="98"/>
        <v>0</v>
      </c>
      <c r="N91" s="455">
        <f t="shared" si="99"/>
        <v>0</v>
      </c>
      <c r="O91" s="455">
        <f t="shared" si="100"/>
        <v>0</v>
      </c>
      <c r="P91" s="455">
        <f t="shared" si="101"/>
        <v>0</v>
      </c>
      <c r="Q91" s="455">
        <f t="shared" si="102"/>
        <v>0</v>
      </c>
      <c r="R91" s="455">
        <f t="shared" si="103"/>
        <v>0</v>
      </c>
      <c r="S91" s="455">
        <f t="shared" si="104"/>
        <v>0</v>
      </c>
      <c r="T91" s="455">
        <f t="shared" si="105"/>
        <v>4.6830496464350061E-4</v>
      </c>
      <c r="U91" s="455">
        <f t="shared" si="106"/>
        <v>1.1707624116087515E-4</v>
      </c>
      <c r="V91" s="456"/>
      <c r="W91" s="457"/>
      <c r="X91" s="458">
        <f t="shared" si="96"/>
        <v>0</v>
      </c>
      <c r="Y91" s="459"/>
      <c r="Z91" s="459"/>
      <c r="AA91" s="459"/>
      <c r="AB91" s="459"/>
      <c r="AC91" s="459"/>
      <c r="AD91" s="459"/>
      <c r="AE91" s="459"/>
      <c r="AF91" s="459">
        <v>0.8</v>
      </c>
      <c r="AG91" s="459">
        <v>0.2</v>
      </c>
      <c r="AH91" s="435">
        <f t="shared" si="107"/>
        <v>1</v>
      </c>
    </row>
    <row r="92" spans="2:34" s="435" customFormat="1">
      <c r="B92" s="430" t="str">
        <f>+'Cómp. y Presup.'!B96</f>
        <v>z103</v>
      </c>
      <c r="C92" s="430"/>
      <c r="D92" s="448" t="str">
        <f t="shared" si="81"/>
        <v>RUBRO XIX:</v>
      </c>
      <c r="E92" s="449" t="str">
        <f t="shared" si="82"/>
        <v>TRABAJOS EXTERIORES</v>
      </c>
      <c r="F92" s="480"/>
      <c r="G92" s="481"/>
      <c r="H92" s="482"/>
      <c r="I92" s="483"/>
      <c r="J92" s="484"/>
      <c r="K92" s="445"/>
      <c r="L92" s="445"/>
      <c r="M92" s="485"/>
      <c r="N92" s="486"/>
      <c r="O92" s="486"/>
      <c r="P92" s="486"/>
      <c r="Q92" s="486"/>
      <c r="R92" s="486"/>
      <c r="S92" s="486"/>
      <c r="T92" s="486"/>
      <c r="U92" s="487"/>
      <c r="V92" s="456"/>
      <c r="W92" s="457"/>
      <c r="X92" s="458"/>
      <c r="Y92" s="459"/>
      <c r="Z92" s="459"/>
      <c r="AA92" s="459"/>
      <c r="AB92" s="459"/>
      <c r="AC92" s="459"/>
      <c r="AD92" s="459"/>
      <c r="AE92" s="459"/>
      <c r="AF92" s="459"/>
      <c r="AG92" s="459"/>
    </row>
    <row r="93" spans="2:34" s="435" customFormat="1">
      <c r="B93" s="430" t="str">
        <f>+'Cómp. y Presup.'!B97</f>
        <v>z104</v>
      </c>
      <c r="C93" s="430"/>
      <c r="D93" s="448" t="str">
        <f t="shared" si="81"/>
        <v>RUBRO XX:</v>
      </c>
      <c r="E93" s="449" t="str">
        <f t="shared" si="82"/>
        <v xml:space="preserve"> VARIOS</v>
      </c>
      <c r="F93" s="488"/>
      <c r="G93" s="489"/>
      <c r="H93" s="490"/>
      <c r="I93" s="491"/>
      <c r="J93" s="492"/>
      <c r="K93" s="445"/>
      <c r="L93" s="445"/>
      <c r="M93" s="493"/>
      <c r="N93" s="494"/>
      <c r="O93" s="494"/>
      <c r="P93" s="494"/>
      <c r="Q93" s="494"/>
      <c r="R93" s="494"/>
      <c r="S93" s="494"/>
      <c r="T93" s="494"/>
      <c r="U93" s="495"/>
      <c r="V93" s="456"/>
      <c r="W93" s="457"/>
      <c r="X93" s="458"/>
      <c r="Y93" s="459"/>
      <c r="Z93" s="459"/>
      <c r="AA93" s="459"/>
      <c r="AB93" s="459"/>
      <c r="AC93" s="459"/>
      <c r="AD93" s="459"/>
      <c r="AE93" s="459"/>
      <c r="AF93" s="459"/>
      <c r="AG93" s="459"/>
    </row>
    <row r="94" spans="2:34" s="435" customFormat="1">
      <c r="B94" s="430" t="str">
        <f>+'Cómp. y Presup.'!B98</f>
        <v>z105</v>
      </c>
      <c r="C94" s="430" t="str">
        <f>+'Cómp. y Presup.'!C98</f>
        <v>TR065</v>
      </c>
      <c r="D94" s="448">
        <f t="shared" si="81"/>
        <v>20.100000000000001</v>
      </c>
      <c r="E94" s="449" t="str">
        <f t="shared" si="82"/>
        <v>Limpieza de Obra</v>
      </c>
      <c r="F94" s="450" t="str">
        <f t="shared" si="83"/>
        <v>gl</v>
      </c>
      <c r="G94" s="451">
        <f t="shared" si="84"/>
        <v>1</v>
      </c>
      <c r="H94" s="452">
        <f>+'Cómp. y Presup.'!H98</f>
        <v>184516.4380928865</v>
      </c>
      <c r="I94" s="453">
        <f t="shared" ref="I94:I95" si="109">+H94*G94</f>
        <v>184516.4380928865</v>
      </c>
      <c r="J94" s="454">
        <f t="shared" si="108"/>
        <v>1.6532421569535223E-2</v>
      </c>
      <c r="K94" s="445"/>
      <c r="L94" s="445"/>
      <c r="M94" s="455">
        <f t="shared" ref="M94:M95" si="110">+$J94*Y94</f>
        <v>1.9838905883442265E-3</v>
      </c>
      <c r="N94" s="455">
        <f t="shared" ref="N94:N95" si="111">+$J94*Z94</f>
        <v>1.8185663726488746E-3</v>
      </c>
      <c r="O94" s="455">
        <f t="shared" ref="O94:O95" si="112">+$J94*AA94</f>
        <v>1.8185663726488746E-3</v>
      </c>
      <c r="P94" s="455">
        <f t="shared" ref="P94:P95" si="113">+$J94*AB94</f>
        <v>1.8185663726488746E-3</v>
      </c>
      <c r="Q94" s="455">
        <f t="shared" ref="Q94:Q95" si="114">+$J94*AC94</f>
        <v>1.8185663726488746E-3</v>
      </c>
      <c r="R94" s="455">
        <f t="shared" ref="R94:R95" si="115">+$J94*AD94</f>
        <v>1.8185663726488746E-3</v>
      </c>
      <c r="S94" s="455">
        <f t="shared" ref="S94:S95" si="116">+$J94*AE94</f>
        <v>1.8185663726488746E-3</v>
      </c>
      <c r="T94" s="455">
        <f t="shared" ref="T94:T95" si="117">+$J94*AF94</f>
        <v>1.8185663726488746E-3</v>
      </c>
      <c r="U94" s="455">
        <f t="shared" ref="U94:U95" si="118">+$J94*AG94</f>
        <v>1.8185663726488746E-3</v>
      </c>
      <c r="V94" s="456"/>
      <c r="W94" s="457"/>
      <c r="X94" s="458">
        <f t="shared" si="96"/>
        <v>0</v>
      </c>
      <c r="Y94" s="459">
        <v>0.12</v>
      </c>
      <c r="Z94" s="459">
        <v>0.11</v>
      </c>
      <c r="AA94" s="459">
        <v>0.11</v>
      </c>
      <c r="AB94" s="459">
        <v>0.11</v>
      </c>
      <c r="AC94" s="459">
        <v>0.11</v>
      </c>
      <c r="AD94" s="459">
        <v>0.11</v>
      </c>
      <c r="AE94" s="459">
        <v>0.11</v>
      </c>
      <c r="AF94" s="459">
        <v>0.11</v>
      </c>
      <c r="AG94" s="459">
        <v>0.11</v>
      </c>
      <c r="AH94" s="435">
        <f t="shared" si="107"/>
        <v>0.99999999999999989</v>
      </c>
    </row>
    <row r="95" spans="2:34" s="435" customFormat="1">
      <c r="B95" s="430" t="str">
        <f>+'Cómp. y Presup.'!B99</f>
        <v>z106</v>
      </c>
      <c r="C95" s="430" t="str">
        <f>+'Cómp. y Presup.'!C99</f>
        <v>TR066</v>
      </c>
      <c r="D95" s="505">
        <f t="shared" si="81"/>
        <v>20.2</v>
      </c>
      <c r="E95" s="506" t="str">
        <f t="shared" si="82"/>
        <v>Planos conforme a obra aprobados  / Manual de uso y mantenimiento</v>
      </c>
      <c r="F95" s="450" t="str">
        <f t="shared" si="83"/>
        <v>gl</v>
      </c>
      <c r="G95" s="451">
        <f t="shared" si="84"/>
        <v>1</v>
      </c>
      <c r="H95" s="452">
        <f>+'Cómp. y Presup.'!H99</f>
        <v>22000.991517043843</v>
      </c>
      <c r="I95" s="453">
        <f t="shared" si="109"/>
        <v>22000.991517043843</v>
      </c>
      <c r="J95" s="454">
        <f t="shared" si="108"/>
        <v>1.9712588778915937E-3</v>
      </c>
      <c r="K95" s="445"/>
      <c r="L95" s="445"/>
      <c r="M95" s="455">
        <f t="shared" si="110"/>
        <v>0</v>
      </c>
      <c r="N95" s="455">
        <f t="shared" si="111"/>
        <v>0</v>
      </c>
      <c r="O95" s="455">
        <f t="shared" si="112"/>
        <v>0</v>
      </c>
      <c r="P95" s="455">
        <f t="shared" si="113"/>
        <v>0</v>
      </c>
      <c r="Q95" s="455">
        <f t="shared" si="114"/>
        <v>0</v>
      </c>
      <c r="R95" s="455">
        <f t="shared" si="115"/>
        <v>0</v>
      </c>
      <c r="S95" s="455">
        <f t="shared" si="116"/>
        <v>0</v>
      </c>
      <c r="T95" s="455">
        <f t="shared" si="117"/>
        <v>9.8562943894579683E-4</v>
      </c>
      <c r="U95" s="455">
        <f t="shared" si="118"/>
        <v>9.8562943894579683E-4</v>
      </c>
      <c r="V95" s="456"/>
      <c r="W95" s="457"/>
      <c r="X95" s="458">
        <f t="shared" si="96"/>
        <v>0</v>
      </c>
      <c r="Y95" s="459"/>
      <c r="Z95" s="459"/>
      <c r="AA95" s="459"/>
      <c r="AB95" s="459"/>
      <c r="AC95" s="459"/>
      <c r="AD95" s="459"/>
      <c r="AE95" s="459"/>
      <c r="AF95" s="459">
        <v>0.5</v>
      </c>
      <c r="AG95" s="459">
        <v>0.5</v>
      </c>
      <c r="AH95" s="435">
        <f t="shared" si="107"/>
        <v>1</v>
      </c>
    </row>
    <row r="96" spans="2:34" s="435" customFormat="1">
      <c r="B96" s="430"/>
      <c r="C96" s="430"/>
      <c r="D96" s="507"/>
      <c r="E96" s="508"/>
      <c r="F96" s="509"/>
      <c r="G96" s="498"/>
      <c r="H96" s="499"/>
      <c r="I96" s="500"/>
      <c r="K96" s="445"/>
      <c r="L96" s="445"/>
      <c r="M96" s="430"/>
      <c r="N96" s="430"/>
      <c r="O96" s="437"/>
      <c r="P96" s="430"/>
      <c r="Q96" s="430"/>
      <c r="R96" s="430"/>
      <c r="S96" s="430"/>
      <c r="T96" s="437"/>
      <c r="U96" s="437"/>
      <c r="V96" s="437"/>
      <c r="W96" s="430"/>
    </row>
    <row r="97" spans="2:34" s="435" customFormat="1">
      <c r="B97" s="430"/>
      <c r="C97" s="430"/>
      <c r="D97" s="510"/>
      <c r="E97" s="511"/>
      <c r="F97" s="512"/>
      <c r="G97" s="467"/>
      <c r="H97" s="468"/>
      <c r="I97" s="469">
        <f>SUM(I10:I95)</f>
        <v>11160883.922346883</v>
      </c>
      <c r="J97" s="470">
        <f>SUM(J10:J95)</f>
        <v>1.0000000000000002</v>
      </c>
      <c r="K97" s="445"/>
      <c r="L97" s="555"/>
      <c r="M97" s="513"/>
      <c r="N97" s="514"/>
      <c r="O97" s="515"/>
      <c r="P97" s="514"/>
      <c r="Q97" s="514"/>
      <c r="R97" s="514"/>
      <c r="S97" s="514"/>
      <c r="T97" s="515"/>
      <c r="U97" s="516"/>
      <c r="V97" s="438"/>
      <c r="W97" s="430"/>
      <c r="X97" s="458">
        <f>SUM(X10:X95)</f>
        <v>0</v>
      </c>
    </row>
    <row r="98" spans="2:34" s="435" customFormat="1">
      <c r="B98" s="430"/>
      <c r="C98" s="430"/>
      <c r="D98" s="507"/>
      <c r="E98" s="508"/>
      <c r="F98" s="509"/>
      <c r="G98" s="498"/>
      <c r="H98" s="499"/>
      <c r="I98" s="500"/>
      <c r="K98" s="445"/>
      <c r="L98" s="445"/>
      <c r="M98" s="430"/>
      <c r="N98" s="430"/>
      <c r="O98" s="437"/>
      <c r="P98" s="430"/>
      <c r="Q98" s="430"/>
      <c r="R98" s="430"/>
      <c r="S98" s="430"/>
      <c r="T98" s="437"/>
      <c r="U98" s="437"/>
      <c r="V98" s="437"/>
      <c r="W98" s="430"/>
      <c r="Y98" s="435">
        <f t="shared" ref="Y98:AG98" si="119">+Y9</f>
        <v>1</v>
      </c>
      <c r="Z98" s="435">
        <f t="shared" si="119"/>
        <v>2</v>
      </c>
      <c r="AA98" s="435">
        <f t="shared" si="119"/>
        <v>3</v>
      </c>
      <c r="AB98" s="435">
        <f t="shared" si="119"/>
        <v>4</v>
      </c>
      <c r="AC98" s="435">
        <f t="shared" si="119"/>
        <v>5</v>
      </c>
      <c r="AD98" s="435">
        <f t="shared" si="119"/>
        <v>6</v>
      </c>
      <c r="AE98" s="435">
        <f t="shared" si="119"/>
        <v>7</v>
      </c>
      <c r="AF98" s="435">
        <f t="shared" si="119"/>
        <v>8</v>
      </c>
      <c r="AG98" s="435">
        <f t="shared" si="119"/>
        <v>9</v>
      </c>
    </row>
    <row r="99" spans="2:34" s="435" customFormat="1">
      <c r="B99" s="430"/>
      <c r="C99" s="430"/>
      <c r="D99" s="517"/>
      <c r="E99" s="616" t="s">
        <v>1992</v>
      </c>
      <c r="F99" s="480"/>
      <c r="G99" s="481"/>
      <c r="H99" s="482"/>
      <c r="I99" s="483"/>
      <c r="J99" s="518"/>
      <c r="K99" s="445"/>
      <c r="L99" s="445"/>
      <c r="M99" s="519">
        <f t="shared" ref="M99:U99" si="120">SUM(M10:M95)</f>
        <v>7.7090272412714031E-2</v>
      </c>
      <c r="N99" s="519">
        <f t="shared" si="120"/>
        <v>0.10012767035241736</v>
      </c>
      <c r="O99" s="519">
        <f t="shared" si="120"/>
        <v>9.9522583483518029E-2</v>
      </c>
      <c r="P99" s="519">
        <f t="shared" si="120"/>
        <v>0.1111991095756069</v>
      </c>
      <c r="Q99" s="519">
        <f t="shared" si="120"/>
        <v>0.12344274936852512</v>
      </c>
      <c r="R99" s="519">
        <f t="shared" si="120"/>
        <v>0.10721982196953825</v>
      </c>
      <c r="S99" s="519">
        <f t="shared" si="120"/>
        <v>0.11854704047066358</v>
      </c>
      <c r="T99" s="519">
        <f t="shared" si="120"/>
        <v>0.15722278181485633</v>
      </c>
      <c r="U99" s="519">
        <f t="shared" si="120"/>
        <v>0.10562797055216064</v>
      </c>
      <c r="V99" s="520"/>
      <c r="W99" s="430"/>
      <c r="Y99" s="458">
        <f>+M99</f>
        <v>7.7090272412714031E-2</v>
      </c>
      <c r="Z99" s="458">
        <f t="shared" ref="Z99:AG100" si="121">+N99</f>
        <v>0.10012767035241736</v>
      </c>
      <c r="AA99" s="458">
        <f t="shared" si="121"/>
        <v>9.9522583483518029E-2</v>
      </c>
      <c r="AB99" s="458">
        <f t="shared" si="121"/>
        <v>0.1111991095756069</v>
      </c>
      <c r="AC99" s="458">
        <f t="shared" si="121"/>
        <v>0.12344274936852512</v>
      </c>
      <c r="AD99" s="458">
        <f t="shared" si="121"/>
        <v>0.10721982196953825</v>
      </c>
      <c r="AE99" s="458">
        <f t="shared" si="121"/>
        <v>0.11854704047066358</v>
      </c>
      <c r="AF99" s="458">
        <f t="shared" si="121"/>
        <v>0.15722278181485633</v>
      </c>
      <c r="AG99" s="458">
        <f t="shared" si="121"/>
        <v>0.10562797055216064</v>
      </c>
    </row>
    <row r="100" spans="2:34" s="435" customFormat="1">
      <c r="B100" s="430"/>
      <c r="C100" s="430"/>
      <c r="D100" s="521"/>
      <c r="E100" s="616"/>
      <c r="F100" s="497"/>
      <c r="G100" s="498"/>
      <c r="H100" s="499"/>
      <c r="I100" s="500"/>
      <c r="J100" s="522"/>
      <c r="K100" s="445"/>
      <c r="L100" s="445"/>
      <c r="M100" s="519">
        <f>+M99</f>
        <v>7.7090272412714031E-2</v>
      </c>
      <c r="N100" s="519">
        <f t="shared" ref="N100:U100" si="122">+M100+N99</f>
        <v>0.17721794276513139</v>
      </c>
      <c r="O100" s="519">
        <f t="shared" si="122"/>
        <v>0.27674052624864942</v>
      </c>
      <c r="P100" s="519">
        <f t="shared" si="122"/>
        <v>0.38793963582425633</v>
      </c>
      <c r="Q100" s="519">
        <f t="shared" si="122"/>
        <v>0.51138238519278145</v>
      </c>
      <c r="R100" s="519">
        <f t="shared" si="122"/>
        <v>0.61860220716231973</v>
      </c>
      <c r="S100" s="519">
        <f t="shared" si="122"/>
        <v>0.73714924763298328</v>
      </c>
      <c r="T100" s="519">
        <f t="shared" si="122"/>
        <v>0.89437202944783967</v>
      </c>
      <c r="U100" s="519">
        <f t="shared" si="122"/>
        <v>1.0000000000000002</v>
      </c>
      <c r="V100" s="520"/>
      <c r="W100" s="430"/>
      <c r="Y100" s="458">
        <f>+M100</f>
        <v>7.7090272412714031E-2</v>
      </c>
      <c r="Z100" s="458">
        <f t="shared" si="121"/>
        <v>0.17721794276513139</v>
      </c>
      <c r="AA100" s="458">
        <f t="shared" si="121"/>
        <v>0.27674052624864942</v>
      </c>
      <c r="AB100" s="458">
        <f t="shared" si="121"/>
        <v>0.38793963582425633</v>
      </c>
      <c r="AC100" s="458">
        <f t="shared" si="121"/>
        <v>0.51138238519278145</v>
      </c>
      <c r="AD100" s="458">
        <f t="shared" si="121"/>
        <v>0.61860220716231973</v>
      </c>
      <c r="AE100" s="458">
        <f t="shared" si="121"/>
        <v>0.73714924763298328</v>
      </c>
      <c r="AF100" s="458">
        <f t="shared" si="121"/>
        <v>0.89437202944783967</v>
      </c>
      <c r="AG100" s="458">
        <f t="shared" si="121"/>
        <v>1.0000000000000002</v>
      </c>
    </row>
    <row r="101" spans="2:34" s="435" customFormat="1">
      <c r="B101" s="430"/>
      <c r="C101" s="430"/>
      <c r="D101" s="521"/>
      <c r="E101" s="616" t="s">
        <v>1993</v>
      </c>
      <c r="F101" s="497"/>
      <c r="G101" s="498"/>
      <c r="H101" s="499"/>
      <c r="I101" s="500"/>
      <c r="J101" s="522"/>
      <c r="K101" s="445"/>
      <c r="L101" s="445"/>
      <c r="M101" s="523">
        <f>+$I$97*M99</f>
        <v>860395.58194040146</v>
      </c>
      <c r="N101" s="523">
        <f>+$I$97*N99</f>
        <v>1117513.3062183436</v>
      </c>
      <c r="O101" s="523">
        <f t="shared" ref="O101:U101" si="123">+$I$97*O99</f>
        <v>1110760.0019116218</v>
      </c>
      <c r="P101" s="523">
        <f t="shared" si="123"/>
        <v>1241080.3542416804</v>
      </c>
      <c r="Q101" s="523">
        <f t="shared" si="123"/>
        <v>1377730.1967574677</v>
      </c>
      <c r="R101" s="523">
        <f>+$I$97*R99</f>
        <v>1196667.9871767145</v>
      </c>
      <c r="S101" s="523">
        <f t="shared" si="123"/>
        <v>1323089.7580308344</v>
      </c>
      <c r="T101" s="523">
        <f>+($I$97*T99)-0.007</f>
        <v>1754745.2107840818</v>
      </c>
      <c r="U101" s="523">
        <f t="shared" si="123"/>
        <v>1178901.5182857397</v>
      </c>
      <c r="V101" s="524"/>
      <c r="W101" s="430"/>
    </row>
    <row r="102" spans="2:34" s="435" customFormat="1">
      <c r="B102" s="430"/>
      <c r="C102" s="430"/>
      <c r="D102" s="525"/>
      <c r="E102" s="616"/>
      <c r="F102" s="488"/>
      <c r="G102" s="489"/>
      <c r="H102" s="490"/>
      <c r="I102" s="491"/>
      <c r="J102" s="526"/>
      <c r="K102" s="445"/>
      <c r="L102" s="445"/>
      <c r="M102" s="523">
        <f>+M101</f>
        <v>860395.58194040146</v>
      </c>
      <c r="N102" s="523">
        <f>+M102+N101</f>
        <v>1977908.8881587451</v>
      </c>
      <c r="O102" s="523">
        <f t="shared" ref="O102:S102" si="124">+N102+O101</f>
        <v>3088668.8900703667</v>
      </c>
      <c r="P102" s="523">
        <f t="shared" si="124"/>
        <v>4329749.244312047</v>
      </c>
      <c r="Q102" s="523">
        <f t="shared" si="124"/>
        <v>5707479.4410695145</v>
      </c>
      <c r="R102" s="523">
        <f t="shared" si="124"/>
        <v>6904147.428246229</v>
      </c>
      <c r="S102" s="523">
        <f t="shared" si="124"/>
        <v>8227237.1862770636</v>
      </c>
      <c r="T102" s="523">
        <f>+(S102+T101)</f>
        <v>9981982.3970611449</v>
      </c>
      <c r="U102" s="523">
        <f>+T102+U101</f>
        <v>11160883.915346885</v>
      </c>
      <c r="V102" s="524"/>
      <c r="W102" s="430"/>
      <c r="Y102" s="527">
        <v>0.12</v>
      </c>
      <c r="Z102" s="527">
        <v>0.11</v>
      </c>
      <c r="AA102" s="527">
        <v>0.11</v>
      </c>
      <c r="AB102" s="527">
        <v>0.11</v>
      </c>
      <c r="AC102" s="527">
        <v>0.11</v>
      </c>
      <c r="AD102" s="527">
        <v>0.11</v>
      </c>
      <c r="AE102" s="527">
        <v>0.11</v>
      </c>
      <c r="AF102" s="527">
        <v>0.11</v>
      </c>
      <c r="AG102" s="527">
        <v>0.11</v>
      </c>
      <c r="AH102" s="435">
        <f>SUM(Y102:AG102)</f>
        <v>0.99999999999999989</v>
      </c>
    </row>
    <row r="103" spans="2:34" s="435" customFormat="1">
      <c r="B103" s="430"/>
      <c r="C103" s="430"/>
      <c r="D103" s="517"/>
      <c r="E103" s="616" t="s">
        <v>1992</v>
      </c>
      <c r="F103" s="509"/>
      <c r="G103" s="498"/>
      <c r="H103" s="499"/>
      <c r="I103" s="500"/>
      <c r="J103" s="518"/>
      <c r="K103" s="445"/>
      <c r="L103" s="553">
        <v>0.15</v>
      </c>
      <c r="M103" s="455">
        <f>+M99*0.85</f>
        <v>6.5526731550806919E-2</v>
      </c>
      <c r="N103" s="455">
        <f t="shared" ref="N103:U103" si="125">+N99*0.85</f>
        <v>8.5108519799554749E-2</v>
      </c>
      <c r="O103" s="455">
        <f t="shared" si="125"/>
        <v>8.4594195960990326E-2</v>
      </c>
      <c r="P103" s="455">
        <f t="shared" si="125"/>
        <v>9.4519243139265866E-2</v>
      </c>
      <c r="Q103" s="455">
        <f t="shared" si="125"/>
        <v>0.10492633696324635</v>
      </c>
      <c r="R103" s="455">
        <f t="shared" si="125"/>
        <v>9.1136848674107512E-2</v>
      </c>
      <c r="S103" s="455">
        <f t="shared" si="125"/>
        <v>0.10076498440006404</v>
      </c>
      <c r="T103" s="455">
        <f t="shared" si="125"/>
        <v>0.13363936454262787</v>
      </c>
      <c r="U103" s="455">
        <f t="shared" si="125"/>
        <v>8.9783774969336538E-2</v>
      </c>
      <c r="V103" s="437"/>
      <c r="W103" s="430"/>
    </row>
    <row r="104" spans="2:34">
      <c r="D104" s="521"/>
      <c r="E104" s="616"/>
      <c r="J104" s="522"/>
      <c r="L104" s="552">
        <v>0.15</v>
      </c>
      <c r="M104" s="455">
        <f>+M103+L104</f>
        <v>0.21552673155080693</v>
      </c>
      <c r="N104" s="455">
        <f>+N103+M104</f>
        <v>0.30063525135036168</v>
      </c>
      <c r="O104" s="455">
        <f t="shared" ref="O104:U104" si="126">+O103+N104</f>
        <v>0.385229447311352</v>
      </c>
      <c r="P104" s="455">
        <f t="shared" si="126"/>
        <v>0.47974869045061785</v>
      </c>
      <c r="Q104" s="455">
        <f t="shared" si="126"/>
        <v>0.58467502741386423</v>
      </c>
      <c r="R104" s="455">
        <f>+(R103+Q104)+0.0004%</f>
        <v>0.67581587608797178</v>
      </c>
      <c r="S104" s="455">
        <f t="shared" si="126"/>
        <v>0.77658086048803576</v>
      </c>
      <c r="T104" s="455">
        <f t="shared" si="126"/>
        <v>0.91022022503066369</v>
      </c>
      <c r="U104" s="455">
        <f t="shared" si="126"/>
        <v>1.0000040000000001</v>
      </c>
    </row>
    <row r="105" spans="2:34">
      <c r="D105" s="521"/>
      <c r="E105" s="616" t="s">
        <v>1993</v>
      </c>
      <c r="J105" s="522"/>
      <c r="L105" s="554">
        <f>+U102*L103</f>
        <v>1674132.5873020326</v>
      </c>
      <c r="M105" s="551">
        <f>+M101*0.85</f>
        <v>731336.24464934121</v>
      </c>
      <c r="N105" s="551">
        <f t="shared" ref="N105:U105" si="127">+N101*0.85</f>
        <v>949886.31028559199</v>
      </c>
      <c r="O105" s="551">
        <f>+(O101*0.85)+0.005</f>
        <v>944146.0066248785</v>
      </c>
      <c r="P105" s="551">
        <f t="shared" si="127"/>
        <v>1054918.3011054283</v>
      </c>
      <c r="Q105" s="551">
        <f t="shared" si="127"/>
        <v>1171070.6672438476</v>
      </c>
      <c r="R105" s="551">
        <f t="shared" si="127"/>
        <v>1017167.7891002073</v>
      </c>
      <c r="S105" s="551">
        <f t="shared" si="127"/>
        <v>1124626.2943262092</v>
      </c>
      <c r="T105" s="551">
        <f t="shared" si="127"/>
        <v>1491533.4291664695</v>
      </c>
      <c r="U105" s="551">
        <f t="shared" si="127"/>
        <v>1002066.2905428787</v>
      </c>
      <c r="Y105" s="445">
        <v>0</v>
      </c>
      <c r="Z105" s="430">
        <v>1</v>
      </c>
      <c r="AA105" s="430">
        <v>2</v>
      </c>
      <c r="AB105" s="430">
        <v>3</v>
      </c>
      <c r="AC105" s="430">
        <v>4</v>
      </c>
      <c r="AD105" s="430">
        <v>5</v>
      </c>
      <c r="AE105" s="430">
        <v>6</v>
      </c>
      <c r="AF105" s="430">
        <v>7</v>
      </c>
      <c r="AG105" s="445">
        <v>8</v>
      </c>
      <c r="AH105" s="430">
        <v>9</v>
      </c>
    </row>
    <row r="106" spans="2:34">
      <c r="D106" s="525"/>
      <c r="E106" s="616"/>
      <c r="J106" s="526"/>
      <c r="K106" s="430"/>
      <c r="L106" s="447"/>
      <c r="M106" s="551">
        <f>+M105+L106</f>
        <v>731336.24464934121</v>
      </c>
      <c r="N106" s="551">
        <f t="shared" ref="N106:T106" si="128">+N105+M106</f>
        <v>1681222.5549349333</v>
      </c>
      <c r="O106" s="551">
        <f t="shared" si="128"/>
        <v>2625368.5615598117</v>
      </c>
      <c r="P106" s="551">
        <f t="shared" si="128"/>
        <v>3680286.8626652397</v>
      </c>
      <c r="Q106" s="551">
        <f t="shared" si="128"/>
        <v>4851357.5299090873</v>
      </c>
      <c r="R106" s="551">
        <f t="shared" si="128"/>
        <v>5868525.3190092947</v>
      </c>
      <c r="S106" s="551">
        <f t="shared" si="128"/>
        <v>6993151.6133355042</v>
      </c>
      <c r="T106" s="551">
        <f t="shared" si="128"/>
        <v>8484685.042501973</v>
      </c>
      <c r="U106" s="551">
        <f>+U105+T106</f>
        <v>9486751.3330448512</v>
      </c>
      <c r="V106" s="430"/>
      <c r="Y106" s="528">
        <f>+L104</f>
        <v>0.15</v>
      </c>
      <c r="Z106" s="528">
        <f t="shared" ref="Z106:AH106" si="129">+M104</f>
        <v>0.21552673155080693</v>
      </c>
      <c r="AA106" s="528">
        <f t="shared" si="129"/>
        <v>0.30063525135036168</v>
      </c>
      <c r="AB106" s="528">
        <f t="shared" si="129"/>
        <v>0.385229447311352</v>
      </c>
      <c r="AC106" s="528">
        <f t="shared" si="129"/>
        <v>0.47974869045061785</v>
      </c>
      <c r="AD106" s="528">
        <f t="shared" si="129"/>
        <v>0.58467502741386423</v>
      </c>
      <c r="AE106" s="528">
        <f t="shared" si="129"/>
        <v>0.67581587608797178</v>
      </c>
      <c r="AF106" s="528">
        <f t="shared" si="129"/>
        <v>0.77658086048803576</v>
      </c>
      <c r="AG106" s="528">
        <f t="shared" si="129"/>
        <v>0.91022022503066369</v>
      </c>
      <c r="AH106" s="528">
        <f t="shared" si="129"/>
        <v>1.0000040000000001</v>
      </c>
    </row>
    <row r="107" spans="2:34">
      <c r="K107" s="430"/>
      <c r="L107" s="430"/>
      <c r="M107" s="529"/>
      <c r="N107" s="529"/>
      <c r="O107" s="529"/>
      <c r="P107" s="529"/>
      <c r="Q107" s="529"/>
      <c r="R107" s="529"/>
      <c r="S107" s="529"/>
      <c r="T107" s="529"/>
      <c r="U107" s="529"/>
      <c r="V107" s="530"/>
    </row>
  </sheetData>
  <mergeCells count="9">
    <mergeCell ref="E105:E106"/>
    <mergeCell ref="E99:E100"/>
    <mergeCell ref="E101:E102"/>
    <mergeCell ref="D4:U4"/>
    <mergeCell ref="D5:U5"/>
    <mergeCell ref="D6:U6"/>
    <mergeCell ref="D7:U7"/>
    <mergeCell ref="D8:U8"/>
    <mergeCell ref="E103:E104"/>
  </mergeCells>
  <conditionalFormatting sqref="V41:V45 V28:V30 V17:V26 V11:V15 V32:V39 V47:V95 M10:V10 M11:U95">
    <cfRule type="cellIs" dxfId="11" priority="11" operator="equal">
      <formula>0</formula>
    </cfRule>
    <cfRule type="cellIs" dxfId="10" priority="12" stopIfTrue="1" operator="greaterThanOrEqual">
      <formula>0.00001</formula>
    </cfRule>
  </conditionalFormatting>
  <conditionalFormatting sqref="V46">
    <cfRule type="cellIs" dxfId="9" priority="9" operator="equal">
      <formula>0</formula>
    </cfRule>
    <cfRule type="cellIs" dxfId="8" priority="10" stopIfTrue="1" operator="greaterThanOrEqual">
      <formula>0.00001</formula>
    </cfRule>
  </conditionalFormatting>
  <conditionalFormatting sqref="V40">
    <cfRule type="cellIs" dxfId="7" priority="7" operator="equal">
      <formula>0</formula>
    </cfRule>
    <cfRule type="cellIs" dxfId="6" priority="8" stopIfTrue="1" operator="greaterThanOrEqual">
      <formula>0.00001</formula>
    </cfRule>
  </conditionalFormatting>
  <conditionalFormatting sqref="V31">
    <cfRule type="cellIs" dxfId="5" priority="5" operator="equal">
      <formula>0</formula>
    </cfRule>
    <cfRule type="cellIs" dxfId="4" priority="6" stopIfTrue="1" operator="greaterThanOrEqual">
      <formula>0.00001</formula>
    </cfRule>
  </conditionalFormatting>
  <conditionalFormatting sqref="V27">
    <cfRule type="cellIs" dxfId="3" priority="3" operator="equal">
      <formula>0</formula>
    </cfRule>
    <cfRule type="cellIs" dxfId="2" priority="4" stopIfTrue="1" operator="greaterThanOrEqual">
      <formula>0.00001</formula>
    </cfRule>
  </conditionalFormatting>
  <conditionalFormatting sqref="V16">
    <cfRule type="cellIs" dxfId="1" priority="1" operator="equal">
      <formula>0</formula>
    </cfRule>
    <cfRule type="cellIs" dxfId="0" priority="2" stopIfTrue="1" operator="greaterThanOrEqual">
      <formula>0.00001</formula>
    </cfRule>
  </conditionalFormatting>
  <pageMargins left="0.31496062992125984" right="0.27559055118110237" top="0.47244094488188981" bottom="0.31496062992125984" header="0.31496062992125984" footer="0.31496062992125984"/>
  <pageSetup paperSize="9" scale="64" fitToHeight="2" orientation="landscape" r:id="rId1"/>
  <headerFooter alignWithMargins="0">
    <oddFooter>&amp;L&amp;G&amp;C&amp;G&amp;R&amp;P de  2</oddFooter>
  </headerFooter>
  <rowBreaks count="1" manualBreakCount="1">
    <brk id="57" min="3" max="20" man="1"/>
  </rowBreak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opLeftCell="A52" zoomScale="106" zoomScaleNormal="106" workbookViewId="0">
      <selection activeCell="A60" sqref="A60"/>
    </sheetView>
  </sheetViews>
  <sheetFormatPr baseColWidth="10" defaultRowHeight="12.75"/>
  <cols>
    <col min="1" max="1" width="36.5703125" style="71" customWidth="1"/>
    <col min="2" max="2" width="19" style="141" customWidth="1"/>
    <col min="3" max="3" width="6.7109375" style="71" customWidth="1"/>
    <col min="4" max="4" width="12.140625" style="141" bestFit="1" customWidth="1"/>
    <col min="5" max="5" width="7.42578125" style="71" customWidth="1"/>
    <col min="6" max="6" width="10.140625" style="71" bestFit="1" customWidth="1"/>
    <col min="7" max="7" width="13.28515625" style="141" bestFit="1" customWidth="1"/>
    <col min="8" max="8" width="10.140625" style="71" bestFit="1" customWidth="1"/>
    <col min="9" max="9" width="13.28515625" style="71" bestFit="1" customWidth="1"/>
    <col min="10" max="10" width="35.140625" style="71" customWidth="1"/>
    <col min="11" max="15" width="11.42578125" style="71"/>
    <col min="16" max="16" width="15" style="71" bestFit="1" customWidth="1"/>
    <col min="17" max="125" width="11.42578125" style="71"/>
    <col min="126" max="126" width="26.7109375" style="71" customWidth="1"/>
    <col min="127" max="127" width="6.7109375" style="71" customWidth="1"/>
    <col min="128" max="128" width="11.42578125" style="71"/>
    <col min="129" max="129" width="9.7109375" style="71" customWidth="1"/>
    <col min="130" max="130" width="11.7109375" style="71" customWidth="1"/>
    <col min="131" max="133" width="4.7109375" style="71" customWidth="1"/>
    <col min="134" max="134" width="5.7109375" style="71" customWidth="1"/>
    <col min="135" max="138" width="4.7109375" style="71" customWidth="1"/>
    <col min="139" max="139" width="5.7109375" style="71" customWidth="1"/>
    <col min="140" max="140" width="4.7109375" style="71" customWidth="1"/>
    <col min="141" max="232" width="2.7109375" style="71" customWidth="1"/>
    <col min="233" max="238" width="3.7109375" style="71" customWidth="1"/>
    <col min="239" max="381" width="11.42578125" style="71"/>
    <col min="382" max="382" width="26.7109375" style="71" customWidth="1"/>
    <col min="383" max="383" width="6.7109375" style="71" customWidth="1"/>
    <col min="384" max="384" width="11.42578125" style="71"/>
    <col min="385" max="385" width="9.7109375" style="71" customWidth="1"/>
    <col min="386" max="386" width="11.7109375" style="71" customWidth="1"/>
    <col min="387" max="389" width="4.7109375" style="71" customWidth="1"/>
    <col min="390" max="390" width="5.7109375" style="71" customWidth="1"/>
    <col min="391" max="394" width="4.7109375" style="71" customWidth="1"/>
    <col min="395" max="395" width="5.7109375" style="71" customWidth="1"/>
    <col min="396" max="396" width="4.7109375" style="71" customWidth="1"/>
    <col min="397" max="488" width="2.7109375" style="71" customWidth="1"/>
    <col min="489" max="494" width="3.7109375" style="71" customWidth="1"/>
    <col min="495" max="637" width="11.42578125" style="71"/>
    <col min="638" max="638" width="26.7109375" style="71" customWidth="1"/>
    <col min="639" max="639" width="6.7109375" style="71" customWidth="1"/>
    <col min="640" max="640" width="11.42578125" style="71"/>
    <col min="641" max="641" width="9.7109375" style="71" customWidth="1"/>
    <col min="642" max="642" width="11.7109375" style="71" customWidth="1"/>
    <col min="643" max="645" width="4.7109375" style="71" customWidth="1"/>
    <col min="646" max="646" width="5.7109375" style="71" customWidth="1"/>
    <col min="647" max="650" width="4.7109375" style="71" customWidth="1"/>
    <col min="651" max="651" width="5.7109375" style="71" customWidth="1"/>
    <col min="652" max="652" width="4.7109375" style="71" customWidth="1"/>
    <col min="653" max="744" width="2.7109375" style="71" customWidth="1"/>
    <col min="745" max="750" width="3.7109375" style="71" customWidth="1"/>
    <col min="751" max="893" width="11.42578125" style="71"/>
    <col min="894" max="894" width="26.7109375" style="71" customWidth="1"/>
    <col min="895" max="895" width="6.7109375" style="71" customWidth="1"/>
    <col min="896" max="896" width="11.42578125" style="71"/>
    <col min="897" max="897" width="9.7109375" style="71" customWidth="1"/>
    <col min="898" max="898" width="11.7109375" style="71" customWidth="1"/>
    <col min="899" max="901" width="4.7109375" style="71" customWidth="1"/>
    <col min="902" max="902" width="5.7109375" style="71" customWidth="1"/>
    <col min="903" max="906" width="4.7109375" style="71" customWidth="1"/>
    <col min="907" max="907" width="5.7109375" style="71" customWidth="1"/>
    <col min="908" max="908" width="4.7109375" style="71" customWidth="1"/>
    <col min="909" max="1000" width="2.7109375" style="71" customWidth="1"/>
    <col min="1001" max="1006" width="3.7109375" style="71" customWidth="1"/>
    <col min="1007" max="1149" width="11.42578125" style="71"/>
    <col min="1150" max="1150" width="26.7109375" style="71" customWidth="1"/>
    <col min="1151" max="1151" width="6.7109375" style="71" customWidth="1"/>
    <col min="1152" max="1152" width="11.42578125" style="71"/>
    <col min="1153" max="1153" width="9.7109375" style="71" customWidth="1"/>
    <col min="1154" max="1154" width="11.7109375" style="71" customWidth="1"/>
    <col min="1155" max="1157" width="4.7109375" style="71" customWidth="1"/>
    <col min="1158" max="1158" width="5.7109375" style="71" customWidth="1"/>
    <col min="1159" max="1162" width="4.7109375" style="71" customWidth="1"/>
    <col min="1163" max="1163" width="5.7109375" style="71" customWidth="1"/>
    <col min="1164" max="1164" width="4.7109375" style="71" customWidth="1"/>
    <col min="1165" max="1256" width="2.7109375" style="71" customWidth="1"/>
    <col min="1257" max="1262" width="3.7109375" style="71" customWidth="1"/>
    <col min="1263" max="1405" width="11.42578125" style="71"/>
    <col min="1406" max="1406" width="26.7109375" style="71" customWidth="1"/>
    <col min="1407" max="1407" width="6.7109375" style="71" customWidth="1"/>
    <col min="1408" max="1408" width="11.42578125" style="71"/>
    <col min="1409" max="1409" width="9.7109375" style="71" customWidth="1"/>
    <col min="1410" max="1410" width="11.7109375" style="71" customWidth="1"/>
    <col min="1411" max="1413" width="4.7109375" style="71" customWidth="1"/>
    <col min="1414" max="1414" width="5.7109375" style="71" customWidth="1"/>
    <col min="1415" max="1418" width="4.7109375" style="71" customWidth="1"/>
    <col min="1419" max="1419" width="5.7109375" style="71" customWidth="1"/>
    <col min="1420" max="1420" width="4.7109375" style="71" customWidth="1"/>
    <col min="1421" max="1512" width="2.7109375" style="71" customWidth="1"/>
    <col min="1513" max="1518" width="3.7109375" style="71" customWidth="1"/>
    <col min="1519" max="1661" width="11.42578125" style="71"/>
    <col min="1662" max="1662" width="26.7109375" style="71" customWidth="1"/>
    <col min="1663" max="1663" width="6.7109375" style="71" customWidth="1"/>
    <col min="1664" max="1664" width="11.42578125" style="71"/>
    <col min="1665" max="1665" width="9.7109375" style="71" customWidth="1"/>
    <col min="1666" max="1666" width="11.7109375" style="71" customWidth="1"/>
    <col min="1667" max="1669" width="4.7109375" style="71" customWidth="1"/>
    <col min="1670" max="1670" width="5.7109375" style="71" customWidth="1"/>
    <col min="1671" max="1674" width="4.7109375" style="71" customWidth="1"/>
    <col min="1675" max="1675" width="5.7109375" style="71" customWidth="1"/>
    <col min="1676" max="1676" width="4.7109375" style="71" customWidth="1"/>
    <col min="1677" max="1768" width="2.7109375" style="71" customWidth="1"/>
    <col min="1769" max="1774" width="3.7109375" style="71" customWidth="1"/>
    <col min="1775" max="1917" width="11.42578125" style="71"/>
    <col min="1918" max="1918" width="26.7109375" style="71" customWidth="1"/>
    <col min="1919" max="1919" width="6.7109375" style="71" customWidth="1"/>
    <col min="1920" max="1920" width="11.42578125" style="71"/>
    <col min="1921" max="1921" width="9.7109375" style="71" customWidth="1"/>
    <col min="1922" max="1922" width="11.7109375" style="71" customWidth="1"/>
    <col min="1923" max="1925" width="4.7109375" style="71" customWidth="1"/>
    <col min="1926" max="1926" width="5.7109375" style="71" customWidth="1"/>
    <col min="1927" max="1930" width="4.7109375" style="71" customWidth="1"/>
    <col min="1931" max="1931" width="5.7109375" style="71" customWidth="1"/>
    <col min="1932" max="1932" width="4.7109375" style="71" customWidth="1"/>
    <col min="1933" max="2024" width="2.7109375" style="71" customWidth="1"/>
    <col min="2025" max="2030" width="3.7109375" style="71" customWidth="1"/>
    <col min="2031" max="2173" width="11.42578125" style="71"/>
    <col min="2174" max="2174" width="26.7109375" style="71" customWidth="1"/>
    <col min="2175" max="2175" width="6.7109375" style="71" customWidth="1"/>
    <col min="2176" max="2176" width="11.42578125" style="71"/>
    <col min="2177" max="2177" width="9.7109375" style="71" customWidth="1"/>
    <col min="2178" max="2178" width="11.7109375" style="71" customWidth="1"/>
    <col min="2179" max="2181" width="4.7109375" style="71" customWidth="1"/>
    <col min="2182" max="2182" width="5.7109375" style="71" customWidth="1"/>
    <col min="2183" max="2186" width="4.7109375" style="71" customWidth="1"/>
    <col min="2187" max="2187" width="5.7109375" style="71" customWidth="1"/>
    <col min="2188" max="2188" width="4.7109375" style="71" customWidth="1"/>
    <col min="2189" max="2280" width="2.7109375" style="71" customWidth="1"/>
    <col min="2281" max="2286" width="3.7109375" style="71" customWidth="1"/>
    <col min="2287" max="2429" width="11.42578125" style="71"/>
    <col min="2430" max="2430" width="26.7109375" style="71" customWidth="1"/>
    <col min="2431" max="2431" width="6.7109375" style="71" customWidth="1"/>
    <col min="2432" max="2432" width="11.42578125" style="71"/>
    <col min="2433" max="2433" width="9.7109375" style="71" customWidth="1"/>
    <col min="2434" max="2434" width="11.7109375" style="71" customWidth="1"/>
    <col min="2435" max="2437" width="4.7109375" style="71" customWidth="1"/>
    <col min="2438" max="2438" width="5.7109375" style="71" customWidth="1"/>
    <col min="2439" max="2442" width="4.7109375" style="71" customWidth="1"/>
    <col min="2443" max="2443" width="5.7109375" style="71" customWidth="1"/>
    <col min="2444" max="2444" width="4.7109375" style="71" customWidth="1"/>
    <col min="2445" max="2536" width="2.7109375" style="71" customWidth="1"/>
    <col min="2537" max="2542" width="3.7109375" style="71" customWidth="1"/>
    <col min="2543" max="2685" width="11.42578125" style="71"/>
    <col min="2686" max="2686" width="26.7109375" style="71" customWidth="1"/>
    <col min="2687" max="2687" width="6.7109375" style="71" customWidth="1"/>
    <col min="2688" max="2688" width="11.42578125" style="71"/>
    <col min="2689" max="2689" width="9.7109375" style="71" customWidth="1"/>
    <col min="2690" max="2690" width="11.7109375" style="71" customWidth="1"/>
    <col min="2691" max="2693" width="4.7109375" style="71" customWidth="1"/>
    <col min="2694" max="2694" width="5.7109375" style="71" customWidth="1"/>
    <col min="2695" max="2698" width="4.7109375" style="71" customWidth="1"/>
    <col min="2699" max="2699" width="5.7109375" style="71" customWidth="1"/>
    <col min="2700" max="2700" width="4.7109375" style="71" customWidth="1"/>
    <col min="2701" max="2792" width="2.7109375" style="71" customWidth="1"/>
    <col min="2793" max="2798" width="3.7109375" style="71" customWidth="1"/>
    <col min="2799" max="2941" width="11.42578125" style="71"/>
    <col min="2942" max="2942" width="26.7109375" style="71" customWidth="1"/>
    <col min="2943" max="2943" width="6.7109375" style="71" customWidth="1"/>
    <col min="2944" max="2944" width="11.42578125" style="71"/>
    <col min="2945" max="2945" width="9.7109375" style="71" customWidth="1"/>
    <col min="2946" max="2946" width="11.7109375" style="71" customWidth="1"/>
    <col min="2947" max="2949" width="4.7109375" style="71" customWidth="1"/>
    <col min="2950" max="2950" width="5.7109375" style="71" customWidth="1"/>
    <col min="2951" max="2954" width="4.7109375" style="71" customWidth="1"/>
    <col min="2955" max="2955" width="5.7109375" style="71" customWidth="1"/>
    <col min="2956" max="2956" width="4.7109375" style="71" customWidth="1"/>
    <col min="2957" max="3048" width="2.7109375" style="71" customWidth="1"/>
    <col min="3049" max="3054" width="3.7109375" style="71" customWidth="1"/>
    <col min="3055" max="3197" width="11.42578125" style="71"/>
    <col min="3198" max="3198" width="26.7109375" style="71" customWidth="1"/>
    <col min="3199" max="3199" width="6.7109375" style="71" customWidth="1"/>
    <col min="3200" max="3200" width="11.42578125" style="71"/>
    <col min="3201" max="3201" width="9.7109375" style="71" customWidth="1"/>
    <col min="3202" max="3202" width="11.7109375" style="71" customWidth="1"/>
    <col min="3203" max="3205" width="4.7109375" style="71" customWidth="1"/>
    <col min="3206" max="3206" width="5.7109375" style="71" customWidth="1"/>
    <col min="3207" max="3210" width="4.7109375" style="71" customWidth="1"/>
    <col min="3211" max="3211" width="5.7109375" style="71" customWidth="1"/>
    <col min="3212" max="3212" width="4.7109375" style="71" customWidth="1"/>
    <col min="3213" max="3304" width="2.7109375" style="71" customWidth="1"/>
    <col min="3305" max="3310" width="3.7109375" style="71" customWidth="1"/>
    <col min="3311" max="3453" width="11.42578125" style="71"/>
    <col min="3454" max="3454" width="26.7109375" style="71" customWidth="1"/>
    <col min="3455" max="3455" width="6.7109375" style="71" customWidth="1"/>
    <col min="3456" max="3456" width="11.42578125" style="71"/>
    <col min="3457" max="3457" width="9.7109375" style="71" customWidth="1"/>
    <col min="3458" max="3458" width="11.7109375" style="71" customWidth="1"/>
    <col min="3459" max="3461" width="4.7109375" style="71" customWidth="1"/>
    <col min="3462" max="3462" width="5.7109375" style="71" customWidth="1"/>
    <col min="3463" max="3466" width="4.7109375" style="71" customWidth="1"/>
    <col min="3467" max="3467" width="5.7109375" style="71" customWidth="1"/>
    <col min="3468" max="3468" width="4.7109375" style="71" customWidth="1"/>
    <col min="3469" max="3560" width="2.7109375" style="71" customWidth="1"/>
    <col min="3561" max="3566" width="3.7109375" style="71" customWidth="1"/>
    <col min="3567" max="3709" width="11.42578125" style="71"/>
    <col min="3710" max="3710" width="26.7109375" style="71" customWidth="1"/>
    <col min="3711" max="3711" width="6.7109375" style="71" customWidth="1"/>
    <col min="3712" max="3712" width="11.42578125" style="71"/>
    <col min="3713" max="3713" width="9.7109375" style="71" customWidth="1"/>
    <col min="3714" max="3714" width="11.7109375" style="71" customWidth="1"/>
    <col min="3715" max="3717" width="4.7109375" style="71" customWidth="1"/>
    <col min="3718" max="3718" width="5.7109375" style="71" customWidth="1"/>
    <col min="3719" max="3722" width="4.7109375" style="71" customWidth="1"/>
    <col min="3723" max="3723" width="5.7109375" style="71" customWidth="1"/>
    <col min="3724" max="3724" width="4.7109375" style="71" customWidth="1"/>
    <col min="3725" max="3816" width="2.7109375" style="71" customWidth="1"/>
    <col min="3817" max="3822" width="3.7109375" style="71" customWidth="1"/>
    <col min="3823" max="3965" width="11.42578125" style="71"/>
    <col min="3966" max="3966" width="26.7109375" style="71" customWidth="1"/>
    <col min="3967" max="3967" width="6.7109375" style="71" customWidth="1"/>
    <col min="3968" max="3968" width="11.42578125" style="71"/>
    <col min="3969" max="3969" width="9.7109375" style="71" customWidth="1"/>
    <col min="3970" max="3970" width="11.7109375" style="71" customWidth="1"/>
    <col min="3971" max="3973" width="4.7109375" style="71" customWidth="1"/>
    <col min="3974" max="3974" width="5.7109375" style="71" customWidth="1"/>
    <col min="3975" max="3978" width="4.7109375" style="71" customWidth="1"/>
    <col min="3979" max="3979" width="5.7109375" style="71" customWidth="1"/>
    <col min="3980" max="3980" width="4.7109375" style="71" customWidth="1"/>
    <col min="3981" max="4072" width="2.7109375" style="71" customWidth="1"/>
    <col min="4073" max="4078" width="3.7109375" style="71" customWidth="1"/>
    <col min="4079" max="4221" width="11.42578125" style="71"/>
    <col min="4222" max="4222" width="26.7109375" style="71" customWidth="1"/>
    <col min="4223" max="4223" width="6.7109375" style="71" customWidth="1"/>
    <col min="4224" max="4224" width="11.42578125" style="71"/>
    <col min="4225" max="4225" width="9.7109375" style="71" customWidth="1"/>
    <col min="4226" max="4226" width="11.7109375" style="71" customWidth="1"/>
    <col min="4227" max="4229" width="4.7109375" style="71" customWidth="1"/>
    <col min="4230" max="4230" width="5.7109375" style="71" customWidth="1"/>
    <col min="4231" max="4234" width="4.7109375" style="71" customWidth="1"/>
    <col min="4235" max="4235" width="5.7109375" style="71" customWidth="1"/>
    <col min="4236" max="4236" width="4.7109375" style="71" customWidth="1"/>
    <col min="4237" max="4328" width="2.7109375" style="71" customWidth="1"/>
    <col min="4329" max="4334" width="3.7109375" style="71" customWidth="1"/>
    <col min="4335" max="4477" width="11.42578125" style="71"/>
    <col min="4478" max="4478" width="26.7109375" style="71" customWidth="1"/>
    <col min="4479" max="4479" width="6.7109375" style="71" customWidth="1"/>
    <col min="4480" max="4480" width="11.42578125" style="71"/>
    <col min="4481" max="4481" width="9.7109375" style="71" customWidth="1"/>
    <col min="4482" max="4482" width="11.7109375" style="71" customWidth="1"/>
    <col min="4483" max="4485" width="4.7109375" style="71" customWidth="1"/>
    <col min="4486" max="4486" width="5.7109375" style="71" customWidth="1"/>
    <col min="4487" max="4490" width="4.7109375" style="71" customWidth="1"/>
    <col min="4491" max="4491" width="5.7109375" style="71" customWidth="1"/>
    <col min="4492" max="4492" width="4.7109375" style="71" customWidth="1"/>
    <col min="4493" max="4584" width="2.7109375" style="71" customWidth="1"/>
    <col min="4585" max="4590" width="3.7109375" style="71" customWidth="1"/>
    <col min="4591" max="4733" width="11.42578125" style="71"/>
    <col min="4734" max="4734" width="26.7109375" style="71" customWidth="1"/>
    <col min="4735" max="4735" width="6.7109375" style="71" customWidth="1"/>
    <col min="4736" max="4736" width="11.42578125" style="71"/>
    <col min="4737" max="4737" width="9.7109375" style="71" customWidth="1"/>
    <col min="4738" max="4738" width="11.7109375" style="71" customWidth="1"/>
    <col min="4739" max="4741" width="4.7109375" style="71" customWidth="1"/>
    <col min="4742" max="4742" width="5.7109375" style="71" customWidth="1"/>
    <col min="4743" max="4746" width="4.7109375" style="71" customWidth="1"/>
    <col min="4747" max="4747" width="5.7109375" style="71" customWidth="1"/>
    <col min="4748" max="4748" width="4.7109375" style="71" customWidth="1"/>
    <col min="4749" max="4840" width="2.7109375" style="71" customWidth="1"/>
    <col min="4841" max="4846" width="3.7109375" style="71" customWidth="1"/>
    <col min="4847" max="4989" width="11.42578125" style="71"/>
    <col min="4990" max="4990" width="26.7109375" style="71" customWidth="1"/>
    <col min="4991" max="4991" width="6.7109375" style="71" customWidth="1"/>
    <col min="4992" max="4992" width="11.42578125" style="71"/>
    <col min="4993" max="4993" width="9.7109375" style="71" customWidth="1"/>
    <col min="4994" max="4994" width="11.7109375" style="71" customWidth="1"/>
    <col min="4995" max="4997" width="4.7109375" style="71" customWidth="1"/>
    <col min="4998" max="4998" width="5.7109375" style="71" customWidth="1"/>
    <col min="4999" max="5002" width="4.7109375" style="71" customWidth="1"/>
    <col min="5003" max="5003" width="5.7109375" style="71" customWidth="1"/>
    <col min="5004" max="5004" width="4.7109375" style="71" customWidth="1"/>
    <col min="5005" max="5096" width="2.7109375" style="71" customWidth="1"/>
    <col min="5097" max="5102" width="3.7109375" style="71" customWidth="1"/>
    <col min="5103" max="5245" width="11.42578125" style="71"/>
    <col min="5246" max="5246" width="26.7109375" style="71" customWidth="1"/>
    <col min="5247" max="5247" width="6.7109375" style="71" customWidth="1"/>
    <col min="5248" max="5248" width="11.42578125" style="71"/>
    <col min="5249" max="5249" width="9.7109375" style="71" customWidth="1"/>
    <col min="5250" max="5250" width="11.7109375" style="71" customWidth="1"/>
    <col min="5251" max="5253" width="4.7109375" style="71" customWidth="1"/>
    <col min="5254" max="5254" width="5.7109375" style="71" customWidth="1"/>
    <col min="5255" max="5258" width="4.7109375" style="71" customWidth="1"/>
    <col min="5259" max="5259" width="5.7109375" style="71" customWidth="1"/>
    <col min="5260" max="5260" width="4.7109375" style="71" customWidth="1"/>
    <col min="5261" max="5352" width="2.7109375" style="71" customWidth="1"/>
    <col min="5353" max="5358" width="3.7109375" style="71" customWidth="1"/>
    <col min="5359" max="5501" width="11.42578125" style="71"/>
    <col min="5502" max="5502" width="26.7109375" style="71" customWidth="1"/>
    <col min="5503" max="5503" width="6.7109375" style="71" customWidth="1"/>
    <col min="5504" max="5504" width="11.42578125" style="71"/>
    <col min="5505" max="5505" width="9.7109375" style="71" customWidth="1"/>
    <col min="5506" max="5506" width="11.7109375" style="71" customWidth="1"/>
    <col min="5507" max="5509" width="4.7109375" style="71" customWidth="1"/>
    <col min="5510" max="5510" width="5.7109375" style="71" customWidth="1"/>
    <col min="5511" max="5514" width="4.7109375" style="71" customWidth="1"/>
    <col min="5515" max="5515" width="5.7109375" style="71" customWidth="1"/>
    <col min="5516" max="5516" width="4.7109375" style="71" customWidth="1"/>
    <col min="5517" max="5608" width="2.7109375" style="71" customWidth="1"/>
    <col min="5609" max="5614" width="3.7109375" style="71" customWidth="1"/>
    <col min="5615" max="5757" width="11.42578125" style="71"/>
    <col min="5758" max="5758" width="26.7109375" style="71" customWidth="1"/>
    <col min="5759" max="5759" width="6.7109375" style="71" customWidth="1"/>
    <col min="5760" max="5760" width="11.42578125" style="71"/>
    <col min="5761" max="5761" width="9.7109375" style="71" customWidth="1"/>
    <col min="5762" max="5762" width="11.7109375" style="71" customWidth="1"/>
    <col min="5763" max="5765" width="4.7109375" style="71" customWidth="1"/>
    <col min="5766" max="5766" width="5.7109375" style="71" customWidth="1"/>
    <col min="5767" max="5770" width="4.7109375" style="71" customWidth="1"/>
    <col min="5771" max="5771" width="5.7109375" style="71" customWidth="1"/>
    <col min="5772" max="5772" width="4.7109375" style="71" customWidth="1"/>
    <col min="5773" max="5864" width="2.7109375" style="71" customWidth="1"/>
    <col min="5865" max="5870" width="3.7109375" style="71" customWidth="1"/>
    <col min="5871" max="6013" width="11.42578125" style="71"/>
    <col min="6014" max="6014" width="26.7109375" style="71" customWidth="1"/>
    <col min="6015" max="6015" width="6.7109375" style="71" customWidth="1"/>
    <col min="6016" max="6016" width="11.42578125" style="71"/>
    <col min="6017" max="6017" width="9.7109375" style="71" customWidth="1"/>
    <col min="6018" max="6018" width="11.7109375" style="71" customWidth="1"/>
    <col min="6019" max="6021" width="4.7109375" style="71" customWidth="1"/>
    <col min="6022" max="6022" width="5.7109375" style="71" customWidth="1"/>
    <col min="6023" max="6026" width="4.7109375" style="71" customWidth="1"/>
    <col min="6027" max="6027" width="5.7109375" style="71" customWidth="1"/>
    <col min="6028" max="6028" width="4.7109375" style="71" customWidth="1"/>
    <col min="6029" max="6120" width="2.7109375" style="71" customWidth="1"/>
    <col min="6121" max="6126" width="3.7109375" style="71" customWidth="1"/>
    <col min="6127" max="6269" width="11.42578125" style="71"/>
    <col min="6270" max="6270" width="26.7109375" style="71" customWidth="1"/>
    <col min="6271" max="6271" width="6.7109375" style="71" customWidth="1"/>
    <col min="6272" max="6272" width="11.42578125" style="71"/>
    <col min="6273" max="6273" width="9.7109375" style="71" customWidth="1"/>
    <col min="6274" max="6274" width="11.7109375" style="71" customWidth="1"/>
    <col min="6275" max="6277" width="4.7109375" style="71" customWidth="1"/>
    <col min="6278" max="6278" width="5.7109375" style="71" customWidth="1"/>
    <col min="6279" max="6282" width="4.7109375" style="71" customWidth="1"/>
    <col min="6283" max="6283" width="5.7109375" style="71" customWidth="1"/>
    <col min="6284" max="6284" width="4.7109375" style="71" customWidth="1"/>
    <col min="6285" max="6376" width="2.7109375" style="71" customWidth="1"/>
    <col min="6377" max="6382" width="3.7109375" style="71" customWidth="1"/>
    <col min="6383" max="6525" width="11.42578125" style="71"/>
    <col min="6526" max="6526" width="26.7109375" style="71" customWidth="1"/>
    <col min="6527" max="6527" width="6.7109375" style="71" customWidth="1"/>
    <col min="6528" max="6528" width="11.42578125" style="71"/>
    <col min="6529" max="6529" width="9.7109375" style="71" customWidth="1"/>
    <col min="6530" max="6530" width="11.7109375" style="71" customWidth="1"/>
    <col min="6531" max="6533" width="4.7109375" style="71" customWidth="1"/>
    <col min="6534" max="6534" width="5.7109375" style="71" customWidth="1"/>
    <col min="6535" max="6538" width="4.7109375" style="71" customWidth="1"/>
    <col min="6539" max="6539" width="5.7109375" style="71" customWidth="1"/>
    <col min="6540" max="6540" width="4.7109375" style="71" customWidth="1"/>
    <col min="6541" max="6632" width="2.7109375" style="71" customWidth="1"/>
    <col min="6633" max="6638" width="3.7109375" style="71" customWidth="1"/>
    <col min="6639" max="6781" width="11.42578125" style="71"/>
    <col min="6782" max="6782" width="26.7109375" style="71" customWidth="1"/>
    <col min="6783" max="6783" width="6.7109375" style="71" customWidth="1"/>
    <col min="6784" max="6784" width="11.42578125" style="71"/>
    <col min="6785" max="6785" width="9.7109375" style="71" customWidth="1"/>
    <col min="6786" max="6786" width="11.7109375" style="71" customWidth="1"/>
    <col min="6787" max="6789" width="4.7109375" style="71" customWidth="1"/>
    <col min="6790" max="6790" width="5.7109375" style="71" customWidth="1"/>
    <col min="6791" max="6794" width="4.7109375" style="71" customWidth="1"/>
    <col min="6795" max="6795" width="5.7109375" style="71" customWidth="1"/>
    <col min="6796" max="6796" width="4.7109375" style="71" customWidth="1"/>
    <col min="6797" max="6888" width="2.7109375" style="71" customWidth="1"/>
    <col min="6889" max="6894" width="3.7109375" style="71" customWidth="1"/>
    <col min="6895" max="7037" width="11.42578125" style="71"/>
    <col min="7038" max="7038" width="26.7109375" style="71" customWidth="1"/>
    <col min="7039" max="7039" width="6.7109375" style="71" customWidth="1"/>
    <col min="7040" max="7040" width="11.42578125" style="71"/>
    <col min="7041" max="7041" width="9.7109375" style="71" customWidth="1"/>
    <col min="7042" max="7042" width="11.7109375" style="71" customWidth="1"/>
    <col min="7043" max="7045" width="4.7109375" style="71" customWidth="1"/>
    <col min="7046" max="7046" width="5.7109375" style="71" customWidth="1"/>
    <col min="7047" max="7050" width="4.7109375" style="71" customWidth="1"/>
    <col min="7051" max="7051" width="5.7109375" style="71" customWidth="1"/>
    <col min="7052" max="7052" width="4.7109375" style="71" customWidth="1"/>
    <col min="7053" max="7144" width="2.7109375" style="71" customWidth="1"/>
    <col min="7145" max="7150" width="3.7109375" style="71" customWidth="1"/>
    <col min="7151" max="7293" width="11.42578125" style="71"/>
    <col min="7294" max="7294" width="26.7109375" style="71" customWidth="1"/>
    <col min="7295" max="7295" width="6.7109375" style="71" customWidth="1"/>
    <col min="7296" max="7296" width="11.42578125" style="71"/>
    <col min="7297" max="7297" width="9.7109375" style="71" customWidth="1"/>
    <col min="7298" max="7298" width="11.7109375" style="71" customWidth="1"/>
    <col min="7299" max="7301" width="4.7109375" style="71" customWidth="1"/>
    <col min="7302" max="7302" width="5.7109375" style="71" customWidth="1"/>
    <col min="7303" max="7306" width="4.7109375" style="71" customWidth="1"/>
    <col min="7307" max="7307" width="5.7109375" style="71" customWidth="1"/>
    <col min="7308" max="7308" width="4.7109375" style="71" customWidth="1"/>
    <col min="7309" max="7400" width="2.7109375" style="71" customWidth="1"/>
    <col min="7401" max="7406" width="3.7109375" style="71" customWidth="1"/>
    <col min="7407" max="7549" width="11.42578125" style="71"/>
    <col min="7550" max="7550" width="26.7109375" style="71" customWidth="1"/>
    <col min="7551" max="7551" width="6.7109375" style="71" customWidth="1"/>
    <col min="7552" max="7552" width="11.42578125" style="71"/>
    <col min="7553" max="7553" width="9.7109375" style="71" customWidth="1"/>
    <col min="7554" max="7554" width="11.7109375" style="71" customWidth="1"/>
    <col min="7555" max="7557" width="4.7109375" style="71" customWidth="1"/>
    <col min="7558" max="7558" width="5.7109375" style="71" customWidth="1"/>
    <col min="7559" max="7562" width="4.7109375" style="71" customWidth="1"/>
    <col min="7563" max="7563" width="5.7109375" style="71" customWidth="1"/>
    <col min="7564" max="7564" width="4.7109375" style="71" customWidth="1"/>
    <col min="7565" max="7656" width="2.7109375" style="71" customWidth="1"/>
    <col min="7657" max="7662" width="3.7109375" style="71" customWidth="1"/>
    <col min="7663" max="7805" width="11.42578125" style="71"/>
    <col min="7806" max="7806" width="26.7109375" style="71" customWidth="1"/>
    <col min="7807" max="7807" width="6.7109375" style="71" customWidth="1"/>
    <col min="7808" max="7808" width="11.42578125" style="71"/>
    <col min="7809" max="7809" width="9.7109375" style="71" customWidth="1"/>
    <col min="7810" max="7810" width="11.7109375" style="71" customWidth="1"/>
    <col min="7811" max="7813" width="4.7109375" style="71" customWidth="1"/>
    <col min="7814" max="7814" width="5.7109375" style="71" customWidth="1"/>
    <col min="7815" max="7818" width="4.7109375" style="71" customWidth="1"/>
    <col min="7819" max="7819" width="5.7109375" style="71" customWidth="1"/>
    <col min="7820" max="7820" width="4.7109375" style="71" customWidth="1"/>
    <col min="7821" max="7912" width="2.7109375" style="71" customWidth="1"/>
    <col min="7913" max="7918" width="3.7109375" style="71" customWidth="1"/>
    <col min="7919" max="8061" width="11.42578125" style="71"/>
    <col min="8062" max="8062" width="26.7109375" style="71" customWidth="1"/>
    <col min="8063" max="8063" width="6.7109375" style="71" customWidth="1"/>
    <col min="8064" max="8064" width="11.42578125" style="71"/>
    <col min="8065" max="8065" width="9.7109375" style="71" customWidth="1"/>
    <col min="8066" max="8066" width="11.7109375" style="71" customWidth="1"/>
    <col min="8067" max="8069" width="4.7109375" style="71" customWidth="1"/>
    <col min="8070" max="8070" width="5.7109375" style="71" customWidth="1"/>
    <col min="8071" max="8074" width="4.7109375" style="71" customWidth="1"/>
    <col min="8075" max="8075" width="5.7109375" style="71" customWidth="1"/>
    <col min="8076" max="8076" width="4.7109375" style="71" customWidth="1"/>
    <col min="8077" max="8168" width="2.7109375" style="71" customWidth="1"/>
    <col min="8169" max="8174" width="3.7109375" style="71" customWidth="1"/>
    <col min="8175" max="8317" width="11.42578125" style="71"/>
    <col min="8318" max="8318" width="26.7109375" style="71" customWidth="1"/>
    <col min="8319" max="8319" width="6.7109375" style="71" customWidth="1"/>
    <col min="8320" max="8320" width="11.42578125" style="71"/>
    <col min="8321" max="8321" width="9.7109375" style="71" customWidth="1"/>
    <col min="8322" max="8322" width="11.7109375" style="71" customWidth="1"/>
    <col min="8323" max="8325" width="4.7109375" style="71" customWidth="1"/>
    <col min="8326" max="8326" width="5.7109375" style="71" customWidth="1"/>
    <col min="8327" max="8330" width="4.7109375" style="71" customWidth="1"/>
    <col min="8331" max="8331" width="5.7109375" style="71" customWidth="1"/>
    <col min="8332" max="8332" width="4.7109375" style="71" customWidth="1"/>
    <col min="8333" max="8424" width="2.7109375" style="71" customWidth="1"/>
    <col min="8425" max="8430" width="3.7109375" style="71" customWidth="1"/>
    <col min="8431" max="8573" width="11.42578125" style="71"/>
    <col min="8574" max="8574" width="26.7109375" style="71" customWidth="1"/>
    <col min="8575" max="8575" width="6.7109375" style="71" customWidth="1"/>
    <col min="8576" max="8576" width="11.42578125" style="71"/>
    <col min="8577" max="8577" width="9.7109375" style="71" customWidth="1"/>
    <col min="8578" max="8578" width="11.7109375" style="71" customWidth="1"/>
    <col min="8579" max="8581" width="4.7109375" style="71" customWidth="1"/>
    <col min="8582" max="8582" width="5.7109375" style="71" customWidth="1"/>
    <col min="8583" max="8586" width="4.7109375" style="71" customWidth="1"/>
    <col min="8587" max="8587" width="5.7109375" style="71" customWidth="1"/>
    <col min="8588" max="8588" width="4.7109375" style="71" customWidth="1"/>
    <col min="8589" max="8680" width="2.7109375" style="71" customWidth="1"/>
    <col min="8681" max="8686" width="3.7109375" style="71" customWidth="1"/>
    <col min="8687" max="8829" width="11.42578125" style="71"/>
    <col min="8830" max="8830" width="26.7109375" style="71" customWidth="1"/>
    <col min="8831" max="8831" width="6.7109375" style="71" customWidth="1"/>
    <col min="8832" max="8832" width="11.42578125" style="71"/>
    <col min="8833" max="8833" width="9.7109375" style="71" customWidth="1"/>
    <col min="8834" max="8834" width="11.7109375" style="71" customWidth="1"/>
    <col min="8835" max="8837" width="4.7109375" style="71" customWidth="1"/>
    <col min="8838" max="8838" width="5.7109375" style="71" customWidth="1"/>
    <col min="8839" max="8842" width="4.7109375" style="71" customWidth="1"/>
    <col min="8843" max="8843" width="5.7109375" style="71" customWidth="1"/>
    <col min="8844" max="8844" width="4.7109375" style="71" customWidth="1"/>
    <col min="8845" max="8936" width="2.7109375" style="71" customWidth="1"/>
    <col min="8937" max="8942" width="3.7109375" style="71" customWidth="1"/>
    <col min="8943" max="9085" width="11.42578125" style="71"/>
    <col min="9086" max="9086" width="26.7109375" style="71" customWidth="1"/>
    <col min="9087" max="9087" width="6.7109375" style="71" customWidth="1"/>
    <col min="9088" max="9088" width="11.42578125" style="71"/>
    <col min="9089" max="9089" width="9.7109375" style="71" customWidth="1"/>
    <col min="9090" max="9090" width="11.7109375" style="71" customWidth="1"/>
    <col min="9091" max="9093" width="4.7109375" style="71" customWidth="1"/>
    <col min="9094" max="9094" width="5.7109375" style="71" customWidth="1"/>
    <col min="9095" max="9098" width="4.7109375" style="71" customWidth="1"/>
    <col min="9099" max="9099" width="5.7109375" style="71" customWidth="1"/>
    <col min="9100" max="9100" width="4.7109375" style="71" customWidth="1"/>
    <col min="9101" max="9192" width="2.7109375" style="71" customWidth="1"/>
    <col min="9193" max="9198" width="3.7109375" style="71" customWidth="1"/>
    <col min="9199" max="9341" width="11.42578125" style="71"/>
    <col min="9342" max="9342" width="26.7109375" style="71" customWidth="1"/>
    <col min="9343" max="9343" width="6.7109375" style="71" customWidth="1"/>
    <col min="9344" max="9344" width="11.42578125" style="71"/>
    <col min="9345" max="9345" width="9.7109375" style="71" customWidth="1"/>
    <col min="9346" max="9346" width="11.7109375" style="71" customWidth="1"/>
    <col min="9347" max="9349" width="4.7109375" style="71" customWidth="1"/>
    <col min="9350" max="9350" width="5.7109375" style="71" customWidth="1"/>
    <col min="9351" max="9354" width="4.7109375" style="71" customWidth="1"/>
    <col min="9355" max="9355" width="5.7109375" style="71" customWidth="1"/>
    <col min="9356" max="9356" width="4.7109375" style="71" customWidth="1"/>
    <col min="9357" max="9448" width="2.7109375" style="71" customWidth="1"/>
    <col min="9449" max="9454" width="3.7109375" style="71" customWidth="1"/>
    <col min="9455" max="9597" width="11.42578125" style="71"/>
    <col min="9598" max="9598" width="26.7109375" style="71" customWidth="1"/>
    <col min="9599" max="9599" width="6.7109375" style="71" customWidth="1"/>
    <col min="9600" max="9600" width="11.42578125" style="71"/>
    <col min="9601" max="9601" width="9.7109375" style="71" customWidth="1"/>
    <col min="9602" max="9602" width="11.7109375" style="71" customWidth="1"/>
    <col min="9603" max="9605" width="4.7109375" style="71" customWidth="1"/>
    <col min="9606" max="9606" width="5.7109375" style="71" customWidth="1"/>
    <col min="9607" max="9610" width="4.7109375" style="71" customWidth="1"/>
    <col min="9611" max="9611" width="5.7109375" style="71" customWidth="1"/>
    <col min="9612" max="9612" width="4.7109375" style="71" customWidth="1"/>
    <col min="9613" max="9704" width="2.7109375" style="71" customWidth="1"/>
    <col min="9705" max="9710" width="3.7109375" style="71" customWidth="1"/>
    <col min="9711" max="9853" width="11.42578125" style="71"/>
    <col min="9854" max="9854" width="26.7109375" style="71" customWidth="1"/>
    <col min="9855" max="9855" width="6.7109375" style="71" customWidth="1"/>
    <col min="9856" max="9856" width="11.42578125" style="71"/>
    <col min="9857" max="9857" width="9.7109375" style="71" customWidth="1"/>
    <col min="9858" max="9858" width="11.7109375" style="71" customWidth="1"/>
    <col min="9859" max="9861" width="4.7109375" style="71" customWidth="1"/>
    <col min="9862" max="9862" width="5.7109375" style="71" customWidth="1"/>
    <col min="9863" max="9866" width="4.7109375" style="71" customWidth="1"/>
    <col min="9867" max="9867" width="5.7109375" style="71" customWidth="1"/>
    <col min="9868" max="9868" width="4.7109375" style="71" customWidth="1"/>
    <col min="9869" max="9960" width="2.7109375" style="71" customWidth="1"/>
    <col min="9961" max="9966" width="3.7109375" style="71" customWidth="1"/>
    <col min="9967" max="10109" width="11.42578125" style="71"/>
    <col min="10110" max="10110" width="26.7109375" style="71" customWidth="1"/>
    <col min="10111" max="10111" width="6.7109375" style="71" customWidth="1"/>
    <col min="10112" max="10112" width="11.42578125" style="71"/>
    <col min="10113" max="10113" width="9.7109375" style="71" customWidth="1"/>
    <col min="10114" max="10114" width="11.7109375" style="71" customWidth="1"/>
    <col min="10115" max="10117" width="4.7109375" style="71" customWidth="1"/>
    <col min="10118" max="10118" width="5.7109375" style="71" customWidth="1"/>
    <col min="10119" max="10122" width="4.7109375" style="71" customWidth="1"/>
    <col min="10123" max="10123" width="5.7109375" style="71" customWidth="1"/>
    <col min="10124" max="10124" width="4.7109375" style="71" customWidth="1"/>
    <col min="10125" max="10216" width="2.7109375" style="71" customWidth="1"/>
    <col min="10217" max="10222" width="3.7109375" style="71" customWidth="1"/>
    <col min="10223" max="10365" width="11.42578125" style="71"/>
    <col min="10366" max="10366" width="26.7109375" style="71" customWidth="1"/>
    <col min="10367" max="10367" width="6.7109375" style="71" customWidth="1"/>
    <col min="10368" max="10368" width="11.42578125" style="71"/>
    <col min="10369" max="10369" width="9.7109375" style="71" customWidth="1"/>
    <col min="10370" max="10370" width="11.7109375" style="71" customWidth="1"/>
    <col min="10371" max="10373" width="4.7109375" style="71" customWidth="1"/>
    <col min="10374" max="10374" width="5.7109375" style="71" customWidth="1"/>
    <col min="10375" max="10378" width="4.7109375" style="71" customWidth="1"/>
    <col min="10379" max="10379" width="5.7109375" style="71" customWidth="1"/>
    <col min="10380" max="10380" width="4.7109375" style="71" customWidth="1"/>
    <col min="10381" max="10472" width="2.7109375" style="71" customWidth="1"/>
    <col min="10473" max="10478" width="3.7109375" style="71" customWidth="1"/>
    <col min="10479" max="10621" width="11.42578125" style="71"/>
    <col min="10622" max="10622" width="26.7109375" style="71" customWidth="1"/>
    <col min="10623" max="10623" width="6.7109375" style="71" customWidth="1"/>
    <col min="10624" max="10624" width="11.42578125" style="71"/>
    <col min="10625" max="10625" width="9.7109375" style="71" customWidth="1"/>
    <col min="10626" max="10626" width="11.7109375" style="71" customWidth="1"/>
    <col min="10627" max="10629" width="4.7109375" style="71" customWidth="1"/>
    <col min="10630" max="10630" width="5.7109375" style="71" customWidth="1"/>
    <col min="10631" max="10634" width="4.7109375" style="71" customWidth="1"/>
    <col min="10635" max="10635" width="5.7109375" style="71" customWidth="1"/>
    <col min="10636" max="10636" width="4.7109375" style="71" customWidth="1"/>
    <col min="10637" max="10728" width="2.7109375" style="71" customWidth="1"/>
    <col min="10729" max="10734" width="3.7109375" style="71" customWidth="1"/>
    <col min="10735" max="10877" width="11.42578125" style="71"/>
    <col min="10878" max="10878" width="26.7109375" style="71" customWidth="1"/>
    <col min="10879" max="10879" width="6.7109375" style="71" customWidth="1"/>
    <col min="10880" max="10880" width="11.42578125" style="71"/>
    <col min="10881" max="10881" width="9.7109375" style="71" customWidth="1"/>
    <col min="10882" max="10882" width="11.7109375" style="71" customWidth="1"/>
    <col min="10883" max="10885" width="4.7109375" style="71" customWidth="1"/>
    <col min="10886" max="10886" width="5.7109375" style="71" customWidth="1"/>
    <col min="10887" max="10890" width="4.7109375" style="71" customWidth="1"/>
    <col min="10891" max="10891" width="5.7109375" style="71" customWidth="1"/>
    <col min="10892" max="10892" width="4.7109375" style="71" customWidth="1"/>
    <col min="10893" max="10984" width="2.7109375" style="71" customWidth="1"/>
    <col min="10985" max="10990" width="3.7109375" style="71" customWidth="1"/>
    <col min="10991" max="11133" width="11.42578125" style="71"/>
    <col min="11134" max="11134" width="26.7109375" style="71" customWidth="1"/>
    <col min="11135" max="11135" width="6.7109375" style="71" customWidth="1"/>
    <col min="11136" max="11136" width="11.42578125" style="71"/>
    <col min="11137" max="11137" width="9.7109375" style="71" customWidth="1"/>
    <col min="11138" max="11138" width="11.7109375" style="71" customWidth="1"/>
    <col min="11139" max="11141" width="4.7109375" style="71" customWidth="1"/>
    <col min="11142" max="11142" width="5.7109375" style="71" customWidth="1"/>
    <col min="11143" max="11146" width="4.7109375" style="71" customWidth="1"/>
    <col min="11147" max="11147" width="5.7109375" style="71" customWidth="1"/>
    <col min="11148" max="11148" width="4.7109375" style="71" customWidth="1"/>
    <col min="11149" max="11240" width="2.7109375" style="71" customWidth="1"/>
    <col min="11241" max="11246" width="3.7109375" style="71" customWidth="1"/>
    <col min="11247" max="11389" width="11.42578125" style="71"/>
    <col min="11390" max="11390" width="26.7109375" style="71" customWidth="1"/>
    <col min="11391" max="11391" width="6.7109375" style="71" customWidth="1"/>
    <col min="11392" max="11392" width="11.42578125" style="71"/>
    <col min="11393" max="11393" width="9.7109375" style="71" customWidth="1"/>
    <col min="11394" max="11394" width="11.7109375" style="71" customWidth="1"/>
    <col min="11395" max="11397" width="4.7109375" style="71" customWidth="1"/>
    <col min="11398" max="11398" width="5.7109375" style="71" customWidth="1"/>
    <col min="11399" max="11402" width="4.7109375" style="71" customWidth="1"/>
    <col min="11403" max="11403" width="5.7109375" style="71" customWidth="1"/>
    <col min="11404" max="11404" width="4.7109375" style="71" customWidth="1"/>
    <col min="11405" max="11496" width="2.7109375" style="71" customWidth="1"/>
    <col min="11497" max="11502" width="3.7109375" style="71" customWidth="1"/>
    <col min="11503" max="11645" width="11.42578125" style="71"/>
    <col min="11646" max="11646" width="26.7109375" style="71" customWidth="1"/>
    <col min="11647" max="11647" width="6.7109375" style="71" customWidth="1"/>
    <col min="11648" max="11648" width="11.42578125" style="71"/>
    <col min="11649" max="11649" width="9.7109375" style="71" customWidth="1"/>
    <col min="11650" max="11650" width="11.7109375" style="71" customWidth="1"/>
    <col min="11651" max="11653" width="4.7109375" style="71" customWidth="1"/>
    <col min="11654" max="11654" width="5.7109375" style="71" customWidth="1"/>
    <col min="11655" max="11658" width="4.7109375" style="71" customWidth="1"/>
    <col min="11659" max="11659" width="5.7109375" style="71" customWidth="1"/>
    <col min="11660" max="11660" width="4.7109375" style="71" customWidth="1"/>
    <col min="11661" max="11752" width="2.7109375" style="71" customWidth="1"/>
    <col min="11753" max="11758" width="3.7109375" style="71" customWidth="1"/>
    <col min="11759" max="11901" width="11.42578125" style="71"/>
    <col min="11902" max="11902" width="26.7109375" style="71" customWidth="1"/>
    <col min="11903" max="11903" width="6.7109375" style="71" customWidth="1"/>
    <col min="11904" max="11904" width="11.42578125" style="71"/>
    <col min="11905" max="11905" width="9.7109375" style="71" customWidth="1"/>
    <col min="11906" max="11906" width="11.7109375" style="71" customWidth="1"/>
    <col min="11907" max="11909" width="4.7109375" style="71" customWidth="1"/>
    <col min="11910" max="11910" width="5.7109375" style="71" customWidth="1"/>
    <col min="11911" max="11914" width="4.7109375" style="71" customWidth="1"/>
    <col min="11915" max="11915" width="5.7109375" style="71" customWidth="1"/>
    <col min="11916" max="11916" width="4.7109375" style="71" customWidth="1"/>
    <col min="11917" max="12008" width="2.7109375" style="71" customWidth="1"/>
    <col min="12009" max="12014" width="3.7109375" style="71" customWidth="1"/>
    <col min="12015" max="12157" width="11.42578125" style="71"/>
    <col min="12158" max="12158" width="26.7109375" style="71" customWidth="1"/>
    <col min="12159" max="12159" width="6.7109375" style="71" customWidth="1"/>
    <col min="12160" max="12160" width="11.42578125" style="71"/>
    <col min="12161" max="12161" width="9.7109375" style="71" customWidth="1"/>
    <col min="12162" max="12162" width="11.7109375" style="71" customWidth="1"/>
    <col min="12163" max="12165" width="4.7109375" style="71" customWidth="1"/>
    <col min="12166" max="12166" width="5.7109375" style="71" customWidth="1"/>
    <col min="12167" max="12170" width="4.7109375" style="71" customWidth="1"/>
    <col min="12171" max="12171" width="5.7109375" style="71" customWidth="1"/>
    <col min="12172" max="12172" width="4.7109375" style="71" customWidth="1"/>
    <col min="12173" max="12264" width="2.7109375" style="71" customWidth="1"/>
    <col min="12265" max="12270" width="3.7109375" style="71" customWidth="1"/>
    <col min="12271" max="12413" width="11.42578125" style="71"/>
    <col min="12414" max="12414" width="26.7109375" style="71" customWidth="1"/>
    <col min="12415" max="12415" width="6.7109375" style="71" customWidth="1"/>
    <col min="12416" max="12416" width="11.42578125" style="71"/>
    <col min="12417" max="12417" width="9.7109375" style="71" customWidth="1"/>
    <col min="12418" max="12418" width="11.7109375" style="71" customWidth="1"/>
    <col min="12419" max="12421" width="4.7109375" style="71" customWidth="1"/>
    <col min="12422" max="12422" width="5.7109375" style="71" customWidth="1"/>
    <col min="12423" max="12426" width="4.7109375" style="71" customWidth="1"/>
    <col min="12427" max="12427" width="5.7109375" style="71" customWidth="1"/>
    <col min="12428" max="12428" width="4.7109375" style="71" customWidth="1"/>
    <col min="12429" max="12520" width="2.7109375" style="71" customWidth="1"/>
    <col min="12521" max="12526" width="3.7109375" style="71" customWidth="1"/>
    <col min="12527" max="12669" width="11.42578125" style="71"/>
    <col min="12670" max="12670" width="26.7109375" style="71" customWidth="1"/>
    <col min="12671" max="12671" width="6.7109375" style="71" customWidth="1"/>
    <col min="12672" max="12672" width="11.42578125" style="71"/>
    <col min="12673" max="12673" width="9.7109375" style="71" customWidth="1"/>
    <col min="12674" max="12674" width="11.7109375" style="71" customWidth="1"/>
    <col min="12675" max="12677" width="4.7109375" style="71" customWidth="1"/>
    <col min="12678" max="12678" width="5.7109375" style="71" customWidth="1"/>
    <col min="12679" max="12682" width="4.7109375" style="71" customWidth="1"/>
    <col min="12683" max="12683" width="5.7109375" style="71" customWidth="1"/>
    <col min="12684" max="12684" width="4.7109375" style="71" customWidth="1"/>
    <col min="12685" max="12776" width="2.7109375" style="71" customWidth="1"/>
    <col min="12777" max="12782" width="3.7109375" style="71" customWidth="1"/>
    <col min="12783" max="12925" width="11.42578125" style="71"/>
    <col min="12926" max="12926" width="26.7109375" style="71" customWidth="1"/>
    <col min="12927" max="12927" width="6.7109375" style="71" customWidth="1"/>
    <col min="12928" max="12928" width="11.42578125" style="71"/>
    <col min="12929" max="12929" width="9.7109375" style="71" customWidth="1"/>
    <col min="12930" max="12930" width="11.7109375" style="71" customWidth="1"/>
    <col min="12931" max="12933" width="4.7109375" style="71" customWidth="1"/>
    <col min="12934" max="12934" width="5.7109375" style="71" customWidth="1"/>
    <col min="12935" max="12938" width="4.7109375" style="71" customWidth="1"/>
    <col min="12939" max="12939" width="5.7109375" style="71" customWidth="1"/>
    <col min="12940" max="12940" width="4.7109375" style="71" customWidth="1"/>
    <col min="12941" max="13032" width="2.7109375" style="71" customWidth="1"/>
    <col min="13033" max="13038" width="3.7109375" style="71" customWidth="1"/>
    <col min="13039" max="13181" width="11.42578125" style="71"/>
    <col min="13182" max="13182" width="26.7109375" style="71" customWidth="1"/>
    <col min="13183" max="13183" width="6.7109375" style="71" customWidth="1"/>
    <col min="13184" max="13184" width="11.42578125" style="71"/>
    <col min="13185" max="13185" width="9.7109375" style="71" customWidth="1"/>
    <col min="13186" max="13186" width="11.7109375" style="71" customWidth="1"/>
    <col min="13187" max="13189" width="4.7109375" style="71" customWidth="1"/>
    <col min="13190" max="13190" width="5.7109375" style="71" customWidth="1"/>
    <col min="13191" max="13194" width="4.7109375" style="71" customWidth="1"/>
    <col min="13195" max="13195" width="5.7109375" style="71" customWidth="1"/>
    <col min="13196" max="13196" width="4.7109375" style="71" customWidth="1"/>
    <col min="13197" max="13288" width="2.7109375" style="71" customWidth="1"/>
    <col min="13289" max="13294" width="3.7109375" style="71" customWidth="1"/>
    <col min="13295" max="13437" width="11.42578125" style="71"/>
    <col min="13438" max="13438" width="26.7109375" style="71" customWidth="1"/>
    <col min="13439" max="13439" width="6.7109375" style="71" customWidth="1"/>
    <col min="13440" max="13440" width="11.42578125" style="71"/>
    <col min="13441" max="13441" width="9.7109375" style="71" customWidth="1"/>
    <col min="13442" max="13442" width="11.7109375" style="71" customWidth="1"/>
    <col min="13443" max="13445" width="4.7109375" style="71" customWidth="1"/>
    <col min="13446" max="13446" width="5.7109375" style="71" customWidth="1"/>
    <col min="13447" max="13450" width="4.7109375" style="71" customWidth="1"/>
    <col min="13451" max="13451" width="5.7109375" style="71" customWidth="1"/>
    <col min="13452" max="13452" width="4.7109375" style="71" customWidth="1"/>
    <col min="13453" max="13544" width="2.7109375" style="71" customWidth="1"/>
    <col min="13545" max="13550" width="3.7109375" style="71" customWidth="1"/>
    <col min="13551" max="13693" width="11.42578125" style="71"/>
    <col min="13694" max="13694" width="26.7109375" style="71" customWidth="1"/>
    <col min="13695" max="13695" width="6.7109375" style="71" customWidth="1"/>
    <col min="13696" max="13696" width="11.42578125" style="71"/>
    <col min="13697" max="13697" width="9.7109375" style="71" customWidth="1"/>
    <col min="13698" max="13698" width="11.7109375" style="71" customWidth="1"/>
    <col min="13699" max="13701" width="4.7109375" style="71" customWidth="1"/>
    <col min="13702" max="13702" width="5.7109375" style="71" customWidth="1"/>
    <col min="13703" max="13706" width="4.7109375" style="71" customWidth="1"/>
    <col min="13707" max="13707" width="5.7109375" style="71" customWidth="1"/>
    <col min="13708" max="13708" width="4.7109375" style="71" customWidth="1"/>
    <col min="13709" max="13800" width="2.7109375" style="71" customWidth="1"/>
    <col min="13801" max="13806" width="3.7109375" style="71" customWidth="1"/>
    <col min="13807" max="13949" width="11.42578125" style="71"/>
    <col min="13950" max="13950" width="26.7109375" style="71" customWidth="1"/>
    <col min="13951" max="13951" width="6.7109375" style="71" customWidth="1"/>
    <col min="13952" max="13952" width="11.42578125" style="71"/>
    <col min="13953" max="13953" width="9.7109375" style="71" customWidth="1"/>
    <col min="13954" max="13954" width="11.7109375" style="71" customWidth="1"/>
    <col min="13955" max="13957" width="4.7109375" style="71" customWidth="1"/>
    <col min="13958" max="13958" width="5.7109375" style="71" customWidth="1"/>
    <col min="13959" max="13962" width="4.7109375" style="71" customWidth="1"/>
    <col min="13963" max="13963" width="5.7109375" style="71" customWidth="1"/>
    <col min="13964" max="13964" width="4.7109375" style="71" customWidth="1"/>
    <col min="13965" max="14056" width="2.7109375" style="71" customWidth="1"/>
    <col min="14057" max="14062" width="3.7109375" style="71" customWidth="1"/>
    <col min="14063" max="14205" width="11.42578125" style="71"/>
    <col min="14206" max="14206" width="26.7109375" style="71" customWidth="1"/>
    <col min="14207" max="14207" width="6.7109375" style="71" customWidth="1"/>
    <col min="14208" max="14208" width="11.42578125" style="71"/>
    <col min="14209" max="14209" width="9.7109375" style="71" customWidth="1"/>
    <col min="14210" max="14210" width="11.7109375" style="71" customWidth="1"/>
    <col min="14211" max="14213" width="4.7109375" style="71" customWidth="1"/>
    <col min="14214" max="14214" width="5.7109375" style="71" customWidth="1"/>
    <col min="14215" max="14218" width="4.7109375" style="71" customWidth="1"/>
    <col min="14219" max="14219" width="5.7109375" style="71" customWidth="1"/>
    <col min="14220" max="14220" width="4.7109375" style="71" customWidth="1"/>
    <col min="14221" max="14312" width="2.7109375" style="71" customWidth="1"/>
    <col min="14313" max="14318" width="3.7109375" style="71" customWidth="1"/>
    <col min="14319" max="14461" width="11.42578125" style="71"/>
    <col min="14462" max="14462" width="26.7109375" style="71" customWidth="1"/>
    <col min="14463" max="14463" width="6.7109375" style="71" customWidth="1"/>
    <col min="14464" max="14464" width="11.42578125" style="71"/>
    <col min="14465" max="14465" width="9.7109375" style="71" customWidth="1"/>
    <col min="14466" max="14466" width="11.7109375" style="71" customWidth="1"/>
    <col min="14467" max="14469" width="4.7109375" style="71" customWidth="1"/>
    <col min="14470" max="14470" width="5.7109375" style="71" customWidth="1"/>
    <col min="14471" max="14474" width="4.7109375" style="71" customWidth="1"/>
    <col min="14475" max="14475" width="5.7109375" style="71" customWidth="1"/>
    <col min="14476" max="14476" width="4.7109375" style="71" customWidth="1"/>
    <col min="14477" max="14568" width="2.7109375" style="71" customWidth="1"/>
    <col min="14569" max="14574" width="3.7109375" style="71" customWidth="1"/>
    <col min="14575" max="14717" width="11.42578125" style="71"/>
    <col min="14718" max="14718" width="26.7109375" style="71" customWidth="1"/>
    <col min="14719" max="14719" width="6.7109375" style="71" customWidth="1"/>
    <col min="14720" max="14720" width="11.42578125" style="71"/>
    <col min="14721" max="14721" width="9.7109375" style="71" customWidth="1"/>
    <col min="14722" max="14722" width="11.7109375" style="71" customWidth="1"/>
    <col min="14723" max="14725" width="4.7109375" style="71" customWidth="1"/>
    <col min="14726" max="14726" width="5.7109375" style="71" customWidth="1"/>
    <col min="14727" max="14730" width="4.7109375" style="71" customWidth="1"/>
    <col min="14731" max="14731" width="5.7109375" style="71" customWidth="1"/>
    <col min="14732" max="14732" width="4.7109375" style="71" customWidth="1"/>
    <col min="14733" max="14824" width="2.7109375" style="71" customWidth="1"/>
    <col min="14825" max="14830" width="3.7109375" style="71" customWidth="1"/>
    <col min="14831" max="14973" width="11.42578125" style="71"/>
    <col min="14974" max="14974" width="26.7109375" style="71" customWidth="1"/>
    <col min="14975" max="14975" width="6.7109375" style="71" customWidth="1"/>
    <col min="14976" max="14976" width="11.42578125" style="71"/>
    <col min="14977" max="14977" width="9.7109375" style="71" customWidth="1"/>
    <col min="14978" max="14978" width="11.7109375" style="71" customWidth="1"/>
    <col min="14979" max="14981" width="4.7109375" style="71" customWidth="1"/>
    <col min="14982" max="14982" width="5.7109375" style="71" customWidth="1"/>
    <col min="14983" max="14986" width="4.7109375" style="71" customWidth="1"/>
    <col min="14987" max="14987" width="5.7109375" style="71" customWidth="1"/>
    <col min="14988" max="14988" width="4.7109375" style="71" customWidth="1"/>
    <col min="14989" max="15080" width="2.7109375" style="71" customWidth="1"/>
    <col min="15081" max="15086" width="3.7109375" style="71" customWidth="1"/>
    <col min="15087" max="15229" width="11.42578125" style="71"/>
    <col min="15230" max="15230" width="26.7109375" style="71" customWidth="1"/>
    <col min="15231" max="15231" width="6.7109375" style="71" customWidth="1"/>
    <col min="15232" max="15232" width="11.42578125" style="71"/>
    <col min="15233" max="15233" width="9.7109375" style="71" customWidth="1"/>
    <col min="15234" max="15234" width="11.7109375" style="71" customWidth="1"/>
    <col min="15235" max="15237" width="4.7109375" style="71" customWidth="1"/>
    <col min="15238" max="15238" width="5.7109375" style="71" customWidth="1"/>
    <col min="15239" max="15242" width="4.7109375" style="71" customWidth="1"/>
    <col min="15243" max="15243" width="5.7109375" style="71" customWidth="1"/>
    <col min="15244" max="15244" width="4.7109375" style="71" customWidth="1"/>
    <col min="15245" max="15336" width="2.7109375" style="71" customWidth="1"/>
    <col min="15337" max="15342" width="3.7109375" style="71" customWidth="1"/>
    <col min="15343" max="15485" width="11.42578125" style="71"/>
    <col min="15486" max="15486" width="26.7109375" style="71" customWidth="1"/>
    <col min="15487" max="15487" width="6.7109375" style="71" customWidth="1"/>
    <col min="15488" max="15488" width="11.42578125" style="71"/>
    <col min="15489" max="15489" width="9.7109375" style="71" customWidth="1"/>
    <col min="15490" max="15490" width="11.7109375" style="71" customWidth="1"/>
    <col min="15491" max="15493" width="4.7109375" style="71" customWidth="1"/>
    <col min="15494" max="15494" width="5.7109375" style="71" customWidth="1"/>
    <col min="15495" max="15498" width="4.7109375" style="71" customWidth="1"/>
    <col min="15499" max="15499" width="5.7109375" style="71" customWidth="1"/>
    <col min="15500" max="15500" width="4.7109375" style="71" customWidth="1"/>
    <col min="15501" max="15592" width="2.7109375" style="71" customWidth="1"/>
    <col min="15593" max="15598" width="3.7109375" style="71" customWidth="1"/>
    <col min="15599" max="15741" width="11.42578125" style="71"/>
    <col min="15742" max="15742" width="26.7109375" style="71" customWidth="1"/>
    <col min="15743" max="15743" width="6.7109375" style="71" customWidth="1"/>
    <col min="15744" max="15744" width="11.42578125" style="71"/>
    <col min="15745" max="15745" width="9.7109375" style="71" customWidth="1"/>
    <col min="15746" max="15746" width="11.7109375" style="71" customWidth="1"/>
    <col min="15747" max="15749" width="4.7109375" style="71" customWidth="1"/>
    <col min="15750" max="15750" width="5.7109375" style="71" customWidth="1"/>
    <col min="15751" max="15754" width="4.7109375" style="71" customWidth="1"/>
    <col min="15755" max="15755" width="5.7109375" style="71" customWidth="1"/>
    <col min="15756" max="15756" width="4.7109375" style="71" customWidth="1"/>
    <col min="15757" max="15848" width="2.7109375" style="71" customWidth="1"/>
    <col min="15849" max="15854" width="3.7109375" style="71" customWidth="1"/>
    <col min="15855" max="15997" width="11.42578125" style="71"/>
    <col min="15998" max="15998" width="26.7109375" style="71" customWidth="1"/>
    <col min="15999" max="15999" width="6.7109375" style="71" customWidth="1"/>
    <col min="16000" max="16000" width="11.42578125" style="71"/>
    <col min="16001" max="16001" width="9.7109375" style="71" customWidth="1"/>
    <col min="16002" max="16002" width="11.7109375" style="71" customWidth="1"/>
    <col min="16003" max="16005" width="4.7109375" style="71" customWidth="1"/>
    <col min="16006" max="16006" width="5.7109375" style="71" customWidth="1"/>
    <col min="16007" max="16010" width="4.7109375" style="71" customWidth="1"/>
    <col min="16011" max="16011" width="5.7109375" style="71" customWidth="1"/>
    <col min="16012" max="16012" width="4.7109375" style="71" customWidth="1"/>
    <col min="16013" max="16104" width="2.7109375" style="71" customWidth="1"/>
    <col min="16105" max="16110" width="3.7109375" style="71" customWidth="1"/>
    <col min="16111" max="16384" width="11.42578125" style="71"/>
  </cols>
  <sheetData>
    <row r="1" spans="1:17" ht="13.5" thickBot="1">
      <c r="A1" s="626" t="s">
        <v>1661</v>
      </c>
      <c r="B1" s="627"/>
      <c r="C1" s="627"/>
      <c r="D1" s="628"/>
      <c r="I1" s="71" t="s">
        <v>2535</v>
      </c>
      <c r="Q1" s="71" t="s">
        <v>1660</v>
      </c>
    </row>
    <row r="2" spans="1:17" ht="13.5" thickBot="1">
      <c r="A2" s="171" t="s">
        <v>1659</v>
      </c>
      <c r="B2" s="629">
        <f>+'Cómp. y Presup.'!J101/'GG (2)'!G30</f>
        <v>6602901.2141909031</v>
      </c>
      <c r="C2" s="627"/>
      <c r="D2" s="628"/>
      <c r="I2" s="136"/>
    </row>
    <row r="3" spans="1:17" ht="13.5" thickBot="1">
      <c r="A3" s="171" t="s">
        <v>1658</v>
      </c>
      <c r="B3" s="170">
        <v>0</v>
      </c>
      <c r="C3" s="170"/>
      <c r="D3" s="169"/>
    </row>
    <row r="4" spans="1:17" ht="13.5" thickBot="1">
      <c r="A4" s="171" t="s">
        <v>1657</v>
      </c>
      <c r="B4" s="170">
        <v>9</v>
      </c>
      <c r="C4" s="170"/>
      <c r="D4" s="169"/>
    </row>
    <row r="5" spans="1:17" ht="13.5" thickBot="1">
      <c r="A5" s="168"/>
      <c r="B5" s="167" t="s">
        <v>1656</v>
      </c>
      <c r="C5" s="166" t="s">
        <v>1655</v>
      </c>
      <c r="D5" s="165" t="s">
        <v>1654</v>
      </c>
    </row>
    <row r="6" spans="1:17">
      <c r="A6" s="157" t="s">
        <v>1653</v>
      </c>
      <c r="B6" s="164"/>
      <c r="C6" s="153"/>
      <c r="D6" s="163"/>
    </row>
    <row r="7" spans="1:17">
      <c r="A7" s="151" t="s">
        <v>1652</v>
      </c>
      <c r="B7" s="150">
        <v>10000</v>
      </c>
      <c r="C7" s="153">
        <f t="shared" ref="C7:C22" si="0">+$B$4</f>
        <v>9</v>
      </c>
      <c r="D7" s="148">
        <f t="shared" ref="D7:D38" si="1">+B7*C7</f>
        <v>90000</v>
      </c>
      <c r="H7" s="413">
        <v>4000</v>
      </c>
      <c r="I7" s="413">
        <f>+C7*H7</f>
        <v>36000</v>
      </c>
      <c r="J7" s="557" t="s">
        <v>2534</v>
      </c>
      <c r="K7" s="558">
        <v>42736</v>
      </c>
    </row>
    <row r="8" spans="1:17">
      <c r="A8" s="151" t="s">
        <v>1651</v>
      </c>
      <c r="B8" s="150">
        <v>1500</v>
      </c>
      <c r="C8" s="153">
        <v>1</v>
      </c>
      <c r="D8" s="148">
        <f t="shared" si="1"/>
        <v>1500</v>
      </c>
    </row>
    <row r="9" spans="1:17">
      <c r="A9" s="151" t="s">
        <v>1650</v>
      </c>
      <c r="B9" s="150">
        <v>100</v>
      </c>
      <c r="C9" s="153">
        <f t="shared" si="0"/>
        <v>9</v>
      </c>
      <c r="D9" s="148">
        <f t="shared" si="1"/>
        <v>900</v>
      </c>
    </row>
    <row r="10" spans="1:17">
      <c r="A10" s="151" t="s">
        <v>1649</v>
      </c>
      <c r="B10" s="150">
        <v>100</v>
      </c>
      <c r="C10" s="153">
        <f t="shared" si="0"/>
        <v>9</v>
      </c>
      <c r="D10" s="148">
        <f t="shared" si="1"/>
        <v>900</v>
      </c>
    </row>
    <row r="11" spans="1:17">
      <c r="A11" s="151" t="s">
        <v>1648</v>
      </c>
      <c r="B11" s="150">
        <v>500</v>
      </c>
      <c r="C11" s="153">
        <f t="shared" si="0"/>
        <v>9</v>
      </c>
      <c r="D11" s="148">
        <f t="shared" si="1"/>
        <v>4500</v>
      </c>
    </row>
    <row r="12" spans="1:17">
      <c r="A12" s="151" t="s">
        <v>1647</v>
      </c>
      <c r="B12" s="150">
        <v>0</v>
      </c>
      <c r="C12" s="153">
        <f t="shared" si="0"/>
        <v>9</v>
      </c>
      <c r="D12" s="148">
        <f t="shared" si="1"/>
        <v>0</v>
      </c>
    </row>
    <row r="13" spans="1:17">
      <c r="A13" s="151" t="s">
        <v>1646</v>
      </c>
      <c r="B13" s="150"/>
      <c r="C13" s="153">
        <f t="shared" si="0"/>
        <v>9</v>
      </c>
      <c r="D13" s="148">
        <f t="shared" si="1"/>
        <v>0</v>
      </c>
    </row>
    <row r="14" spans="1:17">
      <c r="A14" s="151" t="s">
        <v>2526</v>
      </c>
      <c r="B14" s="150">
        <v>15000</v>
      </c>
      <c r="C14" s="153">
        <f t="shared" si="0"/>
        <v>9</v>
      </c>
      <c r="D14" s="148">
        <f t="shared" si="1"/>
        <v>135000</v>
      </c>
      <c r="G14" s="141" t="s">
        <v>1256</v>
      </c>
      <c r="H14" s="74">
        <f>2000+2000/1.21</f>
        <v>3652.8925619834708</v>
      </c>
      <c r="I14" s="74">
        <f>+H14*10</f>
        <v>36528.925619834707</v>
      </c>
    </row>
    <row r="15" spans="1:17">
      <c r="A15" s="151" t="s">
        <v>1701</v>
      </c>
      <c r="B15" s="150">
        <v>0</v>
      </c>
      <c r="C15" s="153">
        <f t="shared" si="0"/>
        <v>9</v>
      </c>
      <c r="D15" s="148">
        <f t="shared" si="1"/>
        <v>0</v>
      </c>
    </row>
    <row r="16" spans="1:17">
      <c r="A16" s="157" t="s">
        <v>1645</v>
      </c>
      <c r="B16" s="156"/>
      <c r="C16" s="153">
        <f t="shared" si="0"/>
        <v>9</v>
      </c>
      <c r="D16" s="148">
        <f t="shared" si="1"/>
        <v>0</v>
      </c>
    </row>
    <row r="17" spans="1:7">
      <c r="A17" s="151" t="s">
        <v>1644</v>
      </c>
      <c r="B17" s="150">
        <v>20000</v>
      </c>
      <c r="C17" s="153">
        <f t="shared" si="0"/>
        <v>9</v>
      </c>
      <c r="D17" s="148">
        <f t="shared" si="1"/>
        <v>180000</v>
      </c>
    </row>
    <row r="18" spans="1:7">
      <c r="A18" s="151" t="s">
        <v>1643</v>
      </c>
      <c r="B18" s="314">
        <v>12000</v>
      </c>
      <c r="C18" s="391">
        <f t="shared" si="0"/>
        <v>9</v>
      </c>
      <c r="D18" s="392">
        <f t="shared" si="1"/>
        <v>108000</v>
      </c>
    </row>
    <row r="19" spans="1:7">
      <c r="A19" s="151" t="s">
        <v>1642</v>
      </c>
      <c r="B19" s="150">
        <v>0</v>
      </c>
      <c r="C19" s="153">
        <f t="shared" si="0"/>
        <v>9</v>
      </c>
      <c r="D19" s="148">
        <f t="shared" si="1"/>
        <v>0</v>
      </c>
    </row>
    <row r="20" spans="1:7">
      <c r="A20" s="151"/>
      <c r="B20" s="150"/>
      <c r="C20" s="153">
        <f t="shared" si="0"/>
        <v>9</v>
      </c>
      <c r="D20" s="148">
        <f t="shared" si="1"/>
        <v>0</v>
      </c>
    </row>
    <row r="21" spans="1:7">
      <c r="A21" s="157" t="s">
        <v>1641</v>
      </c>
      <c r="B21" s="150">
        <v>0</v>
      </c>
      <c r="C21" s="153">
        <f t="shared" si="0"/>
        <v>9</v>
      </c>
      <c r="D21" s="148">
        <f t="shared" si="1"/>
        <v>0</v>
      </c>
    </row>
    <row r="22" spans="1:7">
      <c r="A22" s="151" t="s">
        <v>1637</v>
      </c>
      <c r="B22" s="150">
        <v>0</v>
      </c>
      <c r="C22" s="153">
        <f t="shared" si="0"/>
        <v>9</v>
      </c>
      <c r="D22" s="148">
        <f t="shared" si="1"/>
        <v>0</v>
      </c>
    </row>
    <row r="23" spans="1:7">
      <c r="A23" s="151" t="s">
        <v>1636</v>
      </c>
      <c r="B23" s="150">
        <v>0</v>
      </c>
      <c r="C23" s="153">
        <f>+B4</f>
        <v>9</v>
      </c>
      <c r="D23" s="148">
        <f t="shared" si="1"/>
        <v>0</v>
      </c>
    </row>
    <row r="24" spans="1:7">
      <c r="A24" s="151" t="s">
        <v>1635</v>
      </c>
      <c r="B24" s="150">
        <v>0</v>
      </c>
      <c r="C24" s="153">
        <f t="shared" ref="C24:C37" si="2">+$B$4</f>
        <v>9</v>
      </c>
      <c r="D24" s="148">
        <f t="shared" si="1"/>
        <v>0</v>
      </c>
    </row>
    <row r="25" spans="1:7">
      <c r="A25" s="157" t="s">
        <v>2052</v>
      </c>
      <c r="B25" s="150">
        <f>+F25*G25</f>
        <v>1652.8925619834711</v>
      </c>
      <c r="C25" s="153">
        <f t="shared" si="2"/>
        <v>9</v>
      </c>
      <c r="D25" s="148">
        <f t="shared" si="1"/>
        <v>14876.03305785124</v>
      </c>
      <c r="F25" s="139">
        <v>0.3</v>
      </c>
      <c r="G25" s="150">
        <f>400000/1.21/5/12</f>
        <v>5509.6418732782367</v>
      </c>
    </row>
    <row r="26" spans="1:7">
      <c r="A26" s="151" t="s">
        <v>1637</v>
      </c>
      <c r="B26" s="150">
        <v>1200</v>
      </c>
      <c r="C26" s="153">
        <f t="shared" si="2"/>
        <v>9</v>
      </c>
      <c r="D26" s="148">
        <f t="shared" si="1"/>
        <v>10800</v>
      </c>
    </row>
    <row r="27" spans="1:7">
      <c r="A27" s="151" t="s">
        <v>1636</v>
      </c>
      <c r="B27" s="150">
        <v>1200</v>
      </c>
      <c r="C27" s="153">
        <f t="shared" si="2"/>
        <v>9</v>
      </c>
      <c r="D27" s="148">
        <f t="shared" si="1"/>
        <v>10800</v>
      </c>
    </row>
    <row r="28" spans="1:7">
      <c r="A28" s="151" t="s">
        <v>1635</v>
      </c>
      <c r="B28" s="150"/>
      <c r="C28" s="153">
        <f t="shared" si="2"/>
        <v>9</v>
      </c>
      <c r="D28" s="148">
        <f t="shared" si="1"/>
        <v>0</v>
      </c>
    </row>
    <row r="29" spans="1:7">
      <c r="A29" s="157" t="s">
        <v>1640</v>
      </c>
      <c r="B29" s="150"/>
      <c r="C29" s="153">
        <f t="shared" si="2"/>
        <v>9</v>
      </c>
      <c r="D29" s="148">
        <f t="shared" si="1"/>
        <v>0</v>
      </c>
      <c r="F29" s="139"/>
      <c r="G29" s="150"/>
    </row>
    <row r="30" spans="1:7">
      <c r="A30" s="151" t="s">
        <v>1637</v>
      </c>
      <c r="B30" s="150"/>
      <c r="C30" s="153">
        <f t="shared" si="2"/>
        <v>9</v>
      </c>
      <c r="D30" s="148">
        <f t="shared" si="1"/>
        <v>0</v>
      </c>
    </row>
    <row r="31" spans="1:7">
      <c r="A31" s="151" t="s">
        <v>1636</v>
      </c>
      <c r="B31" s="150"/>
      <c r="C31" s="153">
        <f t="shared" si="2"/>
        <v>9</v>
      </c>
      <c r="D31" s="148">
        <f t="shared" si="1"/>
        <v>0</v>
      </c>
    </row>
    <row r="32" spans="1:7">
      <c r="A32" s="151" t="s">
        <v>1635</v>
      </c>
      <c r="B32" s="150"/>
      <c r="C32" s="153">
        <f t="shared" si="2"/>
        <v>9</v>
      </c>
      <c r="D32" s="148">
        <f t="shared" si="1"/>
        <v>0</v>
      </c>
    </row>
    <row r="33" spans="1:9">
      <c r="A33" s="157" t="s">
        <v>1639</v>
      </c>
      <c r="B33" s="150">
        <f>+F33*G33</f>
        <v>500</v>
      </c>
      <c r="C33" s="153">
        <f t="shared" si="2"/>
        <v>9</v>
      </c>
      <c r="D33" s="148">
        <f t="shared" si="1"/>
        <v>4500</v>
      </c>
      <c r="F33" s="313">
        <v>0.3</v>
      </c>
      <c r="G33" s="314">
        <f>100000/5/12</f>
        <v>1666.6666666666667</v>
      </c>
    </row>
    <row r="34" spans="1:9">
      <c r="A34" s="151" t="s">
        <v>1637</v>
      </c>
      <c r="B34" s="150">
        <v>500</v>
      </c>
      <c r="C34" s="153">
        <f t="shared" si="2"/>
        <v>9</v>
      </c>
      <c r="D34" s="148">
        <f t="shared" si="1"/>
        <v>4500</v>
      </c>
    </row>
    <row r="35" spans="1:9">
      <c r="A35" s="151" t="s">
        <v>1636</v>
      </c>
      <c r="B35" s="150">
        <v>1200</v>
      </c>
      <c r="C35" s="153">
        <f t="shared" si="2"/>
        <v>9</v>
      </c>
      <c r="D35" s="148">
        <f t="shared" si="1"/>
        <v>10800</v>
      </c>
    </row>
    <row r="36" spans="1:9">
      <c r="A36" s="151" t="s">
        <v>1635</v>
      </c>
      <c r="B36" s="150"/>
      <c r="C36" s="153">
        <f t="shared" si="2"/>
        <v>9</v>
      </c>
      <c r="D36" s="148">
        <f t="shared" si="1"/>
        <v>0</v>
      </c>
    </row>
    <row r="37" spans="1:9">
      <c r="A37" s="157" t="s">
        <v>1638</v>
      </c>
      <c r="B37" s="150">
        <f>+F37*G37</f>
        <v>949.99999999999989</v>
      </c>
      <c r="C37" s="153">
        <f t="shared" si="2"/>
        <v>9</v>
      </c>
      <c r="D37" s="148">
        <f t="shared" si="1"/>
        <v>8549.9999999999982</v>
      </c>
      <c r="F37" s="139">
        <v>0.3</v>
      </c>
      <c r="G37" s="150">
        <f>190000/5/12</f>
        <v>3166.6666666666665</v>
      </c>
    </row>
    <row r="38" spans="1:9">
      <c r="A38" s="151" t="s">
        <v>1637</v>
      </c>
      <c r="B38" s="150">
        <v>393.57</v>
      </c>
      <c r="C38" s="153">
        <f>+$B$4</f>
        <v>9</v>
      </c>
      <c r="D38" s="148">
        <f t="shared" si="1"/>
        <v>3542.13</v>
      </c>
    </row>
    <row r="39" spans="1:9">
      <c r="A39" s="151" t="s">
        <v>1636</v>
      </c>
      <c r="B39" s="150">
        <v>1200</v>
      </c>
      <c r="C39" s="153">
        <f>+$B$4</f>
        <v>9</v>
      </c>
      <c r="D39" s="148">
        <f t="shared" ref="D39:D70" si="3">+B39*C39</f>
        <v>10800</v>
      </c>
    </row>
    <row r="40" spans="1:9">
      <c r="A40" s="151" t="s">
        <v>1635</v>
      </c>
      <c r="B40" s="150"/>
      <c r="C40" s="153">
        <f>+$B$4</f>
        <v>9</v>
      </c>
      <c r="D40" s="148">
        <f t="shared" si="3"/>
        <v>0</v>
      </c>
    </row>
    <row r="41" spans="1:9">
      <c r="A41" s="151"/>
      <c r="B41" s="150"/>
      <c r="C41" s="155"/>
      <c r="D41" s="148">
        <f t="shared" si="3"/>
        <v>0</v>
      </c>
    </row>
    <row r="42" spans="1:9">
      <c r="A42" s="157" t="s">
        <v>1634</v>
      </c>
      <c r="B42" s="156"/>
      <c r="C42" s="149"/>
      <c r="D42" s="148">
        <f t="shared" si="3"/>
        <v>0</v>
      </c>
    </row>
    <row r="43" spans="1:9">
      <c r="A43" s="151" t="s">
        <v>1633</v>
      </c>
      <c r="B43" s="150">
        <v>0</v>
      </c>
      <c r="C43" s="153">
        <f t="shared" ref="C43:C53" si="4">+$B$4</f>
        <v>9</v>
      </c>
      <c r="D43" s="148">
        <f t="shared" si="3"/>
        <v>0</v>
      </c>
    </row>
    <row r="44" spans="1:9">
      <c r="A44" s="151" t="s">
        <v>1258</v>
      </c>
      <c r="B44" s="150">
        <f>18000*1.9</f>
        <v>34200</v>
      </c>
      <c r="C44" s="153">
        <f t="shared" si="4"/>
        <v>9</v>
      </c>
      <c r="D44" s="148">
        <f t="shared" si="3"/>
        <v>307800</v>
      </c>
    </row>
    <row r="45" spans="1:9">
      <c r="A45" s="151" t="s">
        <v>1632</v>
      </c>
      <c r="B45" s="150">
        <f>1*4000</f>
        <v>4000</v>
      </c>
      <c r="C45" s="153">
        <f t="shared" si="4"/>
        <v>9</v>
      </c>
      <c r="D45" s="148">
        <f t="shared" si="3"/>
        <v>36000</v>
      </c>
    </row>
    <row r="46" spans="1:9">
      <c r="A46" s="151" t="s">
        <v>1631</v>
      </c>
      <c r="B46" s="150"/>
      <c r="C46" s="153">
        <f t="shared" si="4"/>
        <v>9</v>
      </c>
      <c r="D46" s="148">
        <f t="shared" si="3"/>
        <v>0</v>
      </c>
    </row>
    <row r="47" spans="1:9">
      <c r="A47" s="151" t="s">
        <v>1630</v>
      </c>
      <c r="B47" s="150">
        <f>+F47*G47</f>
        <v>7560</v>
      </c>
      <c r="C47" s="153">
        <f t="shared" si="4"/>
        <v>9</v>
      </c>
      <c r="D47" s="148">
        <f t="shared" si="3"/>
        <v>68040</v>
      </c>
      <c r="F47" s="141">
        <v>0.3</v>
      </c>
      <c r="G47" s="162">
        <f>14000*1.8</f>
        <v>25200</v>
      </c>
      <c r="I47" s="162"/>
    </row>
    <row r="48" spans="1:9">
      <c r="A48" s="151" t="s">
        <v>1629</v>
      </c>
      <c r="B48" s="150">
        <f>+F48*G48</f>
        <v>15000</v>
      </c>
      <c r="C48" s="153">
        <f t="shared" si="4"/>
        <v>9</v>
      </c>
      <c r="D48" s="148">
        <f t="shared" si="3"/>
        <v>135000</v>
      </c>
      <c r="F48" s="141">
        <v>0.3</v>
      </c>
      <c r="G48" s="162">
        <v>50000</v>
      </c>
      <c r="I48" s="162"/>
    </row>
    <row r="49" spans="1:10">
      <c r="A49" s="151" t="s">
        <v>1675</v>
      </c>
      <c r="B49" s="150"/>
      <c r="C49" s="153">
        <f t="shared" si="4"/>
        <v>9</v>
      </c>
      <c r="D49" s="148">
        <f t="shared" si="3"/>
        <v>0</v>
      </c>
      <c r="F49" s="141"/>
      <c r="G49" s="162"/>
      <c r="I49" s="162"/>
    </row>
    <row r="50" spans="1:10">
      <c r="A50" s="151" t="s">
        <v>1628</v>
      </c>
      <c r="B50" s="150"/>
      <c r="C50" s="153">
        <f t="shared" si="4"/>
        <v>9</v>
      </c>
      <c r="D50" s="148">
        <f t="shared" si="3"/>
        <v>0</v>
      </c>
      <c r="F50" s="141"/>
      <c r="G50" s="159"/>
      <c r="I50" s="159"/>
    </row>
    <row r="51" spans="1:10">
      <c r="A51" s="151" t="s">
        <v>1627</v>
      </c>
      <c r="B51" s="150">
        <f>+F51*G51</f>
        <v>3240</v>
      </c>
      <c r="C51" s="153">
        <f t="shared" si="4"/>
        <v>9</v>
      </c>
      <c r="D51" s="148">
        <f t="shared" si="3"/>
        <v>29160</v>
      </c>
      <c r="F51" s="141">
        <v>0.3</v>
      </c>
      <c r="G51" s="159">
        <f>6000*1.8</f>
        <v>10800</v>
      </c>
      <c r="I51" s="159"/>
    </row>
    <row r="52" spans="1:10">
      <c r="A52" s="151" t="s">
        <v>1626</v>
      </c>
      <c r="B52" s="150">
        <f>+F52*G52</f>
        <v>0</v>
      </c>
      <c r="C52" s="153">
        <f t="shared" si="4"/>
        <v>9</v>
      </c>
      <c r="D52" s="148">
        <f t="shared" si="3"/>
        <v>0</v>
      </c>
      <c r="F52" s="141">
        <v>0.3</v>
      </c>
      <c r="G52" s="159">
        <v>0</v>
      </c>
      <c r="I52" s="159"/>
    </row>
    <row r="53" spans="1:10">
      <c r="A53" s="151" t="s">
        <v>1881</v>
      </c>
      <c r="B53" s="150">
        <f>+F53*G53</f>
        <v>2400</v>
      </c>
      <c r="C53" s="153">
        <f t="shared" si="4"/>
        <v>9</v>
      </c>
      <c r="D53" s="148">
        <f t="shared" si="3"/>
        <v>21600</v>
      </c>
      <c r="F53" s="141">
        <v>0.3</v>
      </c>
      <c r="G53" s="162">
        <v>8000</v>
      </c>
      <c r="I53" s="162"/>
    </row>
    <row r="54" spans="1:10">
      <c r="A54" s="306" t="s">
        <v>2511</v>
      </c>
      <c r="B54" s="150">
        <v>500</v>
      </c>
      <c r="C54" s="149">
        <f>9*5</f>
        <v>45</v>
      </c>
      <c r="D54" s="148">
        <f t="shared" si="3"/>
        <v>22500</v>
      </c>
      <c r="F54" s="141"/>
      <c r="G54" s="71"/>
      <c r="H54" s="557">
        <v>500</v>
      </c>
      <c r="I54" s="557">
        <f>+H54*2*4*9</f>
        <v>36000</v>
      </c>
    </row>
    <row r="55" spans="1:10">
      <c r="A55" s="151" t="s">
        <v>1625</v>
      </c>
      <c r="B55" s="150">
        <v>0</v>
      </c>
      <c r="C55" s="153">
        <f t="shared" ref="C55:C60" si="5">+$B$4</f>
        <v>9</v>
      </c>
      <c r="D55" s="148">
        <f t="shared" si="3"/>
        <v>0</v>
      </c>
      <c r="F55" s="141"/>
      <c r="G55" s="71"/>
    </row>
    <row r="56" spans="1:10">
      <c r="A56" s="151" t="s">
        <v>1624</v>
      </c>
      <c r="B56" s="150">
        <v>0</v>
      </c>
      <c r="C56" s="153">
        <f t="shared" si="5"/>
        <v>9</v>
      </c>
      <c r="D56" s="148">
        <f t="shared" si="3"/>
        <v>0</v>
      </c>
      <c r="F56" s="141"/>
      <c r="G56" s="71"/>
    </row>
    <row r="57" spans="1:10">
      <c r="A57" s="151" t="s">
        <v>1623</v>
      </c>
      <c r="B57" s="150">
        <v>4000</v>
      </c>
      <c r="C57" s="153">
        <f t="shared" si="5"/>
        <v>9</v>
      </c>
      <c r="D57" s="148">
        <f t="shared" si="3"/>
        <v>36000</v>
      </c>
      <c r="F57" s="141"/>
      <c r="G57" s="71"/>
    </row>
    <row r="58" spans="1:10">
      <c r="A58" s="151" t="s">
        <v>1622</v>
      </c>
      <c r="B58" s="150">
        <v>0</v>
      </c>
      <c r="C58" s="153">
        <f t="shared" si="5"/>
        <v>9</v>
      </c>
      <c r="D58" s="148">
        <f t="shared" si="3"/>
        <v>0</v>
      </c>
      <c r="F58" s="141"/>
      <c r="G58" s="71"/>
    </row>
    <row r="59" spans="1:10">
      <c r="A59" s="151" t="s">
        <v>2119</v>
      </c>
      <c r="B59" s="150">
        <v>2500</v>
      </c>
      <c r="C59" s="153">
        <f t="shared" si="5"/>
        <v>9</v>
      </c>
      <c r="D59" s="148">
        <f t="shared" si="3"/>
        <v>22500</v>
      </c>
      <c r="F59" s="141"/>
      <c r="G59" s="71"/>
    </row>
    <row r="60" spans="1:10">
      <c r="A60" s="151" t="s">
        <v>2460</v>
      </c>
      <c r="B60" s="252">
        <v>40000</v>
      </c>
      <c r="C60" s="153">
        <f t="shared" si="5"/>
        <v>9</v>
      </c>
      <c r="D60" s="148">
        <f t="shared" si="3"/>
        <v>360000</v>
      </c>
      <c r="F60" s="141"/>
      <c r="G60" s="71"/>
      <c r="H60" s="71">
        <v>0</v>
      </c>
      <c r="I60" s="74">
        <f>+H60*15*5*4*9</f>
        <v>0</v>
      </c>
      <c r="J60" s="559" t="s">
        <v>2536</v>
      </c>
    </row>
    <row r="61" spans="1:10">
      <c r="A61" s="157" t="s">
        <v>1621</v>
      </c>
      <c r="B61" s="156"/>
      <c r="C61" s="152"/>
      <c r="D61" s="148">
        <f t="shared" si="3"/>
        <v>0</v>
      </c>
      <c r="F61" s="141"/>
      <c r="G61" s="71"/>
    </row>
    <row r="62" spans="1:10">
      <c r="A62" s="151" t="s">
        <v>1620</v>
      </c>
      <c r="B62" s="150">
        <v>20000</v>
      </c>
      <c r="C62" s="152">
        <v>1</v>
      </c>
      <c r="D62" s="148">
        <f t="shared" si="3"/>
        <v>20000</v>
      </c>
      <c r="F62" s="141"/>
      <c r="G62" s="71"/>
    </row>
    <row r="63" spans="1:10">
      <c r="A63" s="151" t="s">
        <v>1619</v>
      </c>
      <c r="B63" s="150"/>
      <c r="C63" s="152"/>
      <c r="D63" s="148">
        <f t="shared" si="3"/>
        <v>0</v>
      </c>
      <c r="F63" s="141"/>
      <c r="G63" s="71"/>
    </row>
    <row r="64" spans="1:10">
      <c r="A64" s="151" t="s">
        <v>1618</v>
      </c>
      <c r="B64" s="150">
        <v>0</v>
      </c>
      <c r="C64" s="152">
        <v>1</v>
      </c>
      <c r="D64" s="148">
        <f t="shared" si="3"/>
        <v>0</v>
      </c>
      <c r="F64" s="141"/>
      <c r="G64" s="71"/>
    </row>
    <row r="65" spans="1:17">
      <c r="A65" s="151" t="s">
        <v>1617</v>
      </c>
      <c r="B65" s="150">
        <v>0</v>
      </c>
      <c r="C65" s="152">
        <v>1</v>
      </c>
      <c r="D65" s="148">
        <f t="shared" si="3"/>
        <v>0</v>
      </c>
      <c r="F65" s="141"/>
      <c r="G65" s="71"/>
    </row>
    <row r="66" spans="1:17">
      <c r="A66" s="151" t="s">
        <v>1616</v>
      </c>
      <c r="B66" s="150">
        <v>8000</v>
      </c>
      <c r="C66" s="152">
        <v>1</v>
      </c>
      <c r="D66" s="148">
        <f t="shared" si="3"/>
        <v>8000</v>
      </c>
      <c r="F66" s="141"/>
      <c r="G66" s="71"/>
    </row>
    <row r="67" spans="1:17">
      <c r="A67" s="151" t="s">
        <v>1615</v>
      </c>
      <c r="B67" s="150">
        <v>0</v>
      </c>
      <c r="C67" s="152">
        <v>1</v>
      </c>
      <c r="D67" s="148">
        <f t="shared" si="3"/>
        <v>0</v>
      </c>
      <c r="F67" s="141"/>
      <c r="G67" s="71"/>
    </row>
    <row r="68" spans="1:17">
      <c r="A68" s="306" t="s">
        <v>1926</v>
      </c>
      <c r="B68" s="252">
        <v>0</v>
      </c>
      <c r="C68" s="152">
        <v>1</v>
      </c>
      <c r="D68" s="148">
        <f t="shared" si="3"/>
        <v>0</v>
      </c>
      <c r="F68" s="141"/>
      <c r="G68" s="71"/>
      <c r="H68" s="176"/>
      <c r="I68" s="389"/>
      <c r="J68" s="176"/>
    </row>
    <row r="69" spans="1:17">
      <c r="A69" s="157" t="s">
        <v>1614</v>
      </c>
      <c r="B69" s="156"/>
      <c r="C69" s="152"/>
      <c r="D69" s="148">
        <f t="shared" si="3"/>
        <v>0</v>
      </c>
      <c r="F69" s="141"/>
      <c r="G69" s="71"/>
      <c r="H69" s="176"/>
      <c r="I69" s="389"/>
      <c r="J69" s="176"/>
    </row>
    <row r="70" spans="1:17">
      <c r="A70" s="151" t="s">
        <v>1613</v>
      </c>
      <c r="B70" s="150">
        <f>+F70*G70</f>
        <v>3600</v>
      </c>
      <c r="C70" s="153">
        <f>+$B$4</f>
        <v>9</v>
      </c>
      <c r="D70" s="148">
        <f t="shared" si="3"/>
        <v>32400</v>
      </c>
      <c r="F70" s="141">
        <v>0.3</v>
      </c>
      <c r="G70" s="162">
        <v>12000</v>
      </c>
      <c r="H70" s="176"/>
      <c r="I70" s="388"/>
      <c r="J70" s="176"/>
    </row>
    <row r="71" spans="1:17">
      <c r="A71" s="151" t="s">
        <v>1612</v>
      </c>
      <c r="B71" s="150">
        <f>+F71*G71</f>
        <v>450</v>
      </c>
      <c r="C71" s="153">
        <f>+$B$4</f>
        <v>9</v>
      </c>
      <c r="D71" s="148">
        <f t="shared" ref="D71:D81" si="6">+B71*C71</f>
        <v>4050</v>
      </c>
      <c r="F71" s="141">
        <v>0.3</v>
      </c>
      <c r="G71" s="162">
        <v>1500</v>
      </c>
      <c r="H71" s="176"/>
      <c r="I71" s="388"/>
      <c r="J71" s="176"/>
    </row>
    <row r="72" spans="1:17">
      <c r="A72" s="151" t="s">
        <v>1611</v>
      </c>
      <c r="B72" s="150"/>
      <c r="C72" s="153"/>
      <c r="D72" s="148">
        <f t="shared" si="6"/>
        <v>0</v>
      </c>
      <c r="F72" s="141"/>
      <c r="G72" s="71"/>
      <c r="H72" s="176"/>
      <c r="I72" s="389"/>
      <c r="J72" s="176"/>
    </row>
    <row r="73" spans="1:17">
      <c r="A73" s="151" t="s">
        <v>1610</v>
      </c>
      <c r="B73" s="150">
        <v>350</v>
      </c>
      <c r="C73" s="153">
        <f>+$B$4</f>
        <v>9</v>
      </c>
      <c r="D73" s="148">
        <f t="shared" si="6"/>
        <v>3150</v>
      </c>
      <c r="F73" s="141">
        <v>0.3</v>
      </c>
      <c r="G73" s="162">
        <v>1000</v>
      </c>
      <c r="H73" s="176"/>
      <c r="I73" s="388"/>
      <c r="J73" s="176"/>
    </row>
    <row r="74" spans="1:17">
      <c r="A74" s="151" t="s">
        <v>1609</v>
      </c>
      <c r="B74" s="150">
        <f>+F74*G74</f>
        <v>1200</v>
      </c>
      <c r="C74" s="153">
        <f>+$B$4</f>
        <v>9</v>
      </c>
      <c r="D74" s="148">
        <f t="shared" si="6"/>
        <v>10800</v>
      </c>
      <c r="F74" s="141">
        <v>0.3</v>
      </c>
      <c r="G74" s="162">
        <v>4000</v>
      </c>
      <c r="H74" s="176"/>
      <c r="I74" s="390"/>
      <c r="J74" s="176"/>
    </row>
    <row r="75" spans="1:17">
      <c r="A75" s="151" t="s">
        <v>1608</v>
      </c>
      <c r="B75" s="314">
        <v>3000</v>
      </c>
      <c r="C75" s="153">
        <f>+$B$4</f>
        <v>9</v>
      </c>
      <c r="D75" s="148">
        <f t="shared" si="6"/>
        <v>27000</v>
      </c>
      <c r="H75" s="176"/>
      <c r="I75" s="176"/>
      <c r="J75" s="176"/>
    </row>
    <row r="76" spans="1:17">
      <c r="A76" s="151" t="s">
        <v>1607</v>
      </c>
      <c r="B76" s="150">
        <v>0</v>
      </c>
      <c r="C76" s="160">
        <v>1</v>
      </c>
      <c r="D76" s="148">
        <f t="shared" si="6"/>
        <v>0</v>
      </c>
    </row>
    <row r="77" spans="1:17">
      <c r="A77" s="157" t="s">
        <v>1606</v>
      </c>
      <c r="B77" s="156"/>
      <c r="C77" s="154"/>
      <c r="D77" s="148">
        <f t="shared" si="6"/>
        <v>0</v>
      </c>
    </row>
    <row r="78" spans="1:17">
      <c r="A78" s="161" t="s">
        <v>2163</v>
      </c>
      <c r="B78" s="317">
        <f>+B2</f>
        <v>6602901.2141909031</v>
      </c>
      <c r="C78" s="182">
        <v>0</v>
      </c>
      <c r="D78" s="148">
        <f t="shared" si="6"/>
        <v>0</v>
      </c>
      <c r="F78" s="182">
        <v>1.2E-2</v>
      </c>
    </row>
    <row r="79" spans="1:17">
      <c r="A79" s="161" t="s">
        <v>2162</v>
      </c>
      <c r="B79" s="150">
        <f>+B2</f>
        <v>6602901.2141909031</v>
      </c>
      <c r="C79" s="182">
        <v>0</v>
      </c>
      <c r="D79" s="148">
        <f t="shared" si="6"/>
        <v>0</v>
      </c>
      <c r="F79" s="182">
        <v>1.0999999999999999E-2</v>
      </c>
      <c r="O79" s="71" t="s">
        <v>1711</v>
      </c>
      <c r="P79" s="159">
        <v>3000000</v>
      </c>
      <c r="Q79" s="143">
        <f>+P79/$P$84</f>
        <v>0.30927835051546393</v>
      </c>
    </row>
    <row r="80" spans="1:17">
      <c r="A80" s="161" t="s">
        <v>2164</v>
      </c>
      <c r="B80" s="150">
        <f>+B78</f>
        <v>6602901.2141909031</v>
      </c>
      <c r="C80" s="322">
        <v>0</v>
      </c>
      <c r="D80" s="148">
        <f t="shared" si="6"/>
        <v>0</v>
      </c>
      <c r="F80" s="322">
        <v>3.0000000000000001E-3</v>
      </c>
      <c r="O80" s="71" t="s">
        <v>1712</v>
      </c>
      <c r="P80" s="159">
        <v>5000000</v>
      </c>
      <c r="Q80" s="143">
        <f>+P80/$P$84</f>
        <v>0.51546391752577314</v>
      </c>
    </row>
    <row r="81" spans="1:17">
      <c r="A81" s="157" t="s">
        <v>1605</v>
      </c>
      <c r="B81" s="156"/>
      <c r="C81" s="149"/>
      <c r="D81" s="148">
        <f t="shared" si="6"/>
        <v>0</v>
      </c>
      <c r="I81" s="136"/>
      <c r="O81" s="71" t="s">
        <v>1713</v>
      </c>
      <c r="P81" s="159">
        <v>1200000</v>
      </c>
      <c r="Q81" s="143">
        <f>+P81/$P$84</f>
        <v>0.12371134020618557</v>
      </c>
    </row>
    <row r="82" spans="1:17">
      <c r="A82" s="151" t="s">
        <v>1604</v>
      </c>
      <c r="B82" s="150"/>
      <c r="C82" s="158">
        <v>2.5000000000000001E-2</v>
      </c>
      <c r="D82" s="148">
        <f>+B82*C82</f>
        <v>0</v>
      </c>
      <c r="O82" s="71" t="s">
        <v>1603</v>
      </c>
      <c r="P82" s="159">
        <v>500000</v>
      </c>
      <c r="Q82" s="143">
        <f>+P82/$P$84</f>
        <v>5.1546391752577317E-2</v>
      </c>
    </row>
    <row r="83" spans="1:17">
      <c r="A83" s="151" t="s">
        <v>1602</v>
      </c>
      <c r="B83" s="150"/>
      <c r="C83" s="158"/>
      <c r="D83" s="148">
        <f>+B83*C83</f>
        <v>0</v>
      </c>
      <c r="P83" s="159"/>
    </row>
    <row r="84" spans="1:17">
      <c r="A84" s="151" t="s">
        <v>1601</v>
      </c>
      <c r="B84" s="252">
        <f>+B2*0.15</f>
        <v>990435.18212863547</v>
      </c>
      <c r="C84" s="253">
        <v>0</v>
      </c>
      <c r="D84" s="148">
        <f t="shared" ref="D84:D97" si="7">+B84*C84</f>
        <v>0</v>
      </c>
      <c r="F84" s="181">
        <f>+B84/B2</f>
        <v>0.15</v>
      </c>
      <c r="P84" s="88">
        <f>SUM(P79:P83)</f>
        <v>9700000</v>
      </c>
      <c r="Q84" s="142">
        <f>SUM(Q79:Q83)</f>
        <v>1</v>
      </c>
    </row>
    <row r="85" spans="1:17">
      <c r="A85" s="151"/>
      <c r="B85" s="150"/>
      <c r="C85" s="149"/>
      <c r="D85" s="148">
        <f t="shared" si="7"/>
        <v>0</v>
      </c>
    </row>
    <row r="86" spans="1:17">
      <c r="A86" s="157" t="s">
        <v>1600</v>
      </c>
      <c r="B86" s="156"/>
      <c r="C86" s="155"/>
      <c r="D86" s="148">
        <f t="shared" si="7"/>
        <v>0</v>
      </c>
      <c r="H86" s="136"/>
      <c r="I86" s="136"/>
    </row>
    <row r="87" spans="1:17">
      <c r="A87" s="151" t="s">
        <v>1599</v>
      </c>
      <c r="B87" s="150">
        <v>3000</v>
      </c>
      <c r="C87" s="154">
        <v>1</v>
      </c>
      <c r="D87" s="148">
        <f t="shared" si="7"/>
        <v>3000</v>
      </c>
    </row>
    <row r="88" spans="1:17">
      <c r="A88" s="151" t="s">
        <v>1707</v>
      </c>
      <c r="B88" s="314">
        <v>2000</v>
      </c>
      <c r="C88" s="154">
        <v>6</v>
      </c>
      <c r="D88" s="148">
        <f t="shared" si="7"/>
        <v>12000</v>
      </c>
    </row>
    <row r="89" spans="1:17">
      <c r="A89" s="151" t="s">
        <v>1598</v>
      </c>
      <c r="B89" s="314">
        <v>3000</v>
      </c>
      <c r="C89" s="154">
        <v>8</v>
      </c>
      <c r="D89" s="148">
        <f t="shared" si="7"/>
        <v>24000</v>
      </c>
    </row>
    <row r="90" spans="1:17">
      <c r="A90" s="151" t="s">
        <v>1597</v>
      </c>
      <c r="B90" s="314">
        <v>200</v>
      </c>
      <c r="C90" s="154">
        <v>12</v>
      </c>
      <c r="D90" s="148">
        <f t="shared" si="7"/>
        <v>2400</v>
      </c>
    </row>
    <row r="91" spans="1:17">
      <c r="A91" s="151" t="s">
        <v>1596</v>
      </c>
      <c r="B91" s="314">
        <v>2000</v>
      </c>
      <c r="C91" s="153">
        <v>8</v>
      </c>
      <c r="D91" s="148">
        <f t="shared" si="7"/>
        <v>16000</v>
      </c>
    </row>
    <row r="92" spans="1:17">
      <c r="A92" s="151" t="s">
        <v>2141</v>
      </c>
      <c r="B92" s="314">
        <v>400</v>
      </c>
      <c r="C92" s="153">
        <v>9</v>
      </c>
      <c r="D92" s="148">
        <f t="shared" si="7"/>
        <v>3600</v>
      </c>
    </row>
    <row r="93" spans="1:17">
      <c r="A93" s="151" t="s">
        <v>2142</v>
      </c>
      <c r="B93" s="314">
        <v>400</v>
      </c>
      <c r="C93" s="153">
        <v>9</v>
      </c>
      <c r="D93" s="148">
        <f t="shared" si="7"/>
        <v>3600</v>
      </c>
    </row>
    <row r="94" spans="1:17">
      <c r="A94" s="151"/>
      <c r="B94" s="314">
        <v>0</v>
      </c>
      <c r="C94" s="153"/>
      <c r="D94" s="148">
        <f t="shared" si="7"/>
        <v>0</v>
      </c>
    </row>
    <row r="95" spans="1:17">
      <c r="A95" s="151"/>
      <c r="B95" s="314"/>
      <c r="C95" s="153"/>
      <c r="D95" s="148"/>
    </row>
    <row r="96" spans="1:17">
      <c r="A96" s="306" t="s">
        <v>1595</v>
      </c>
      <c r="B96" s="150"/>
      <c r="C96" s="153">
        <f>+B4</f>
        <v>9</v>
      </c>
      <c r="D96" s="148">
        <f t="shared" si="7"/>
        <v>0</v>
      </c>
    </row>
    <row r="97" spans="1:7">
      <c r="A97" s="151" t="s">
        <v>1925</v>
      </c>
      <c r="B97" s="317">
        <v>0</v>
      </c>
      <c r="C97" s="152">
        <v>1</v>
      </c>
      <c r="D97" s="148">
        <f t="shared" si="7"/>
        <v>0</v>
      </c>
    </row>
    <row r="98" spans="1:7">
      <c r="A98" s="151"/>
      <c r="B98" s="150"/>
      <c r="C98" s="152"/>
      <c r="D98" s="148"/>
    </row>
    <row r="99" spans="1:7" ht="13.5" thickBot="1">
      <c r="A99" s="151" t="s">
        <v>1594</v>
      </c>
      <c r="B99" s="150"/>
      <c r="C99" s="149"/>
      <c r="D99" s="148">
        <f>+B99*C99</f>
        <v>0</v>
      </c>
    </row>
    <row r="100" spans="1:7" ht="13.5" thickBot="1">
      <c r="A100" s="147" t="s">
        <v>1593</v>
      </c>
      <c r="B100" s="146"/>
      <c r="C100" s="145"/>
      <c r="D100" s="144">
        <f>SUM(D7:D99)</f>
        <v>1808568.1630578511</v>
      </c>
    </row>
    <row r="101" spans="1:7">
      <c r="D101" s="143"/>
      <c r="F101" s="142"/>
    </row>
    <row r="102" spans="1:7">
      <c r="D102" s="181">
        <f>+D100/B2</f>
        <v>0.27390507663069241</v>
      </c>
      <c r="G102" s="181"/>
    </row>
    <row r="104" spans="1:7">
      <c r="D104" s="181">
        <v>0.27350000000000002</v>
      </c>
    </row>
  </sheetData>
  <mergeCells count="2">
    <mergeCell ref="A1:D1"/>
    <mergeCell ref="B2:D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view="pageBreakPreview" topLeftCell="A10" zoomScaleNormal="106" zoomScaleSheetLayoutView="100" workbookViewId="0">
      <selection activeCell="L23" sqref="L23"/>
    </sheetView>
  </sheetViews>
  <sheetFormatPr baseColWidth="10" defaultRowHeight="12.75"/>
  <cols>
    <col min="1" max="1" width="5.85546875" style="71" bestFit="1" customWidth="1"/>
    <col min="2" max="2" width="13.28515625" style="71" bestFit="1" customWidth="1"/>
    <col min="3" max="3" width="11.42578125" style="71"/>
    <col min="4" max="4" width="27.42578125" style="71" customWidth="1"/>
    <col min="5" max="5" width="11.42578125" style="71"/>
    <col min="6" max="6" width="12.7109375" style="71" bestFit="1" customWidth="1"/>
    <col min="7" max="113" width="11.42578125" style="71"/>
    <col min="114" max="114" width="26.7109375" style="71" customWidth="1"/>
    <col min="115" max="115" width="6.7109375" style="71" customWidth="1"/>
    <col min="116" max="116" width="11.42578125" style="71"/>
    <col min="117" max="117" width="9.7109375" style="71" customWidth="1"/>
    <col min="118" max="118" width="11.7109375" style="71" customWidth="1"/>
    <col min="119" max="121" width="4.7109375" style="71" customWidth="1"/>
    <col min="122" max="122" width="5.7109375" style="71" customWidth="1"/>
    <col min="123" max="126" width="4.7109375" style="71" customWidth="1"/>
    <col min="127" max="127" width="5.7109375" style="71" customWidth="1"/>
    <col min="128" max="128" width="4.7109375" style="71" customWidth="1"/>
    <col min="129" max="220" width="2.7109375" style="71" customWidth="1"/>
    <col min="221" max="226" width="3.7109375" style="71" customWidth="1"/>
    <col min="227" max="369" width="11.42578125" style="71"/>
    <col min="370" max="370" width="26.7109375" style="71" customWidth="1"/>
    <col min="371" max="371" width="6.7109375" style="71" customWidth="1"/>
    <col min="372" max="372" width="11.42578125" style="71"/>
    <col min="373" max="373" width="9.7109375" style="71" customWidth="1"/>
    <col min="374" max="374" width="11.7109375" style="71" customWidth="1"/>
    <col min="375" max="377" width="4.7109375" style="71" customWidth="1"/>
    <col min="378" max="378" width="5.7109375" style="71" customWidth="1"/>
    <col min="379" max="382" width="4.7109375" style="71" customWidth="1"/>
    <col min="383" max="383" width="5.7109375" style="71" customWidth="1"/>
    <col min="384" max="384" width="4.7109375" style="71" customWidth="1"/>
    <col min="385" max="476" width="2.7109375" style="71" customWidth="1"/>
    <col min="477" max="482" width="3.7109375" style="71" customWidth="1"/>
    <col min="483" max="625" width="11.42578125" style="71"/>
    <col min="626" max="626" width="26.7109375" style="71" customWidth="1"/>
    <col min="627" max="627" width="6.7109375" style="71" customWidth="1"/>
    <col min="628" max="628" width="11.42578125" style="71"/>
    <col min="629" max="629" width="9.7109375" style="71" customWidth="1"/>
    <col min="630" max="630" width="11.7109375" style="71" customWidth="1"/>
    <col min="631" max="633" width="4.7109375" style="71" customWidth="1"/>
    <col min="634" max="634" width="5.7109375" style="71" customWidth="1"/>
    <col min="635" max="638" width="4.7109375" style="71" customWidth="1"/>
    <col min="639" max="639" width="5.7109375" style="71" customWidth="1"/>
    <col min="640" max="640" width="4.7109375" style="71" customWidth="1"/>
    <col min="641" max="732" width="2.7109375" style="71" customWidth="1"/>
    <col min="733" max="738" width="3.7109375" style="71" customWidth="1"/>
    <col min="739" max="881" width="11.42578125" style="71"/>
    <col min="882" max="882" width="26.7109375" style="71" customWidth="1"/>
    <col min="883" max="883" width="6.7109375" style="71" customWidth="1"/>
    <col min="884" max="884" width="11.42578125" style="71"/>
    <col min="885" max="885" width="9.7109375" style="71" customWidth="1"/>
    <col min="886" max="886" width="11.7109375" style="71" customWidth="1"/>
    <col min="887" max="889" width="4.7109375" style="71" customWidth="1"/>
    <col min="890" max="890" width="5.7109375" style="71" customWidth="1"/>
    <col min="891" max="894" width="4.7109375" style="71" customWidth="1"/>
    <col min="895" max="895" width="5.7109375" style="71" customWidth="1"/>
    <col min="896" max="896" width="4.7109375" style="71" customWidth="1"/>
    <col min="897" max="988" width="2.7109375" style="71" customWidth="1"/>
    <col min="989" max="994" width="3.7109375" style="71" customWidth="1"/>
    <col min="995" max="1137" width="11.42578125" style="71"/>
    <col min="1138" max="1138" width="26.7109375" style="71" customWidth="1"/>
    <col min="1139" max="1139" width="6.7109375" style="71" customWidth="1"/>
    <col min="1140" max="1140" width="11.42578125" style="71"/>
    <col min="1141" max="1141" width="9.7109375" style="71" customWidth="1"/>
    <col min="1142" max="1142" width="11.7109375" style="71" customWidth="1"/>
    <col min="1143" max="1145" width="4.7109375" style="71" customWidth="1"/>
    <col min="1146" max="1146" width="5.7109375" style="71" customWidth="1"/>
    <col min="1147" max="1150" width="4.7109375" style="71" customWidth="1"/>
    <col min="1151" max="1151" width="5.7109375" style="71" customWidth="1"/>
    <col min="1152" max="1152" width="4.7109375" style="71" customWidth="1"/>
    <col min="1153" max="1244" width="2.7109375" style="71" customWidth="1"/>
    <col min="1245" max="1250" width="3.7109375" style="71" customWidth="1"/>
    <col min="1251" max="1393" width="11.42578125" style="71"/>
    <col min="1394" max="1394" width="26.7109375" style="71" customWidth="1"/>
    <col min="1395" max="1395" width="6.7109375" style="71" customWidth="1"/>
    <col min="1396" max="1396" width="11.42578125" style="71"/>
    <col min="1397" max="1397" width="9.7109375" style="71" customWidth="1"/>
    <col min="1398" max="1398" width="11.7109375" style="71" customWidth="1"/>
    <col min="1399" max="1401" width="4.7109375" style="71" customWidth="1"/>
    <col min="1402" max="1402" width="5.7109375" style="71" customWidth="1"/>
    <col min="1403" max="1406" width="4.7109375" style="71" customWidth="1"/>
    <col min="1407" max="1407" width="5.7109375" style="71" customWidth="1"/>
    <col min="1408" max="1408" width="4.7109375" style="71" customWidth="1"/>
    <col min="1409" max="1500" width="2.7109375" style="71" customWidth="1"/>
    <col min="1501" max="1506" width="3.7109375" style="71" customWidth="1"/>
    <col min="1507" max="1649" width="11.42578125" style="71"/>
    <col min="1650" max="1650" width="26.7109375" style="71" customWidth="1"/>
    <col min="1651" max="1651" width="6.7109375" style="71" customWidth="1"/>
    <col min="1652" max="1652" width="11.42578125" style="71"/>
    <col min="1653" max="1653" width="9.7109375" style="71" customWidth="1"/>
    <col min="1654" max="1654" width="11.7109375" style="71" customWidth="1"/>
    <col min="1655" max="1657" width="4.7109375" style="71" customWidth="1"/>
    <col min="1658" max="1658" width="5.7109375" style="71" customWidth="1"/>
    <col min="1659" max="1662" width="4.7109375" style="71" customWidth="1"/>
    <col min="1663" max="1663" width="5.7109375" style="71" customWidth="1"/>
    <col min="1664" max="1664" width="4.7109375" style="71" customWidth="1"/>
    <col min="1665" max="1756" width="2.7109375" style="71" customWidth="1"/>
    <col min="1757" max="1762" width="3.7109375" style="71" customWidth="1"/>
    <col min="1763" max="1905" width="11.42578125" style="71"/>
    <col min="1906" max="1906" width="26.7109375" style="71" customWidth="1"/>
    <col min="1907" max="1907" width="6.7109375" style="71" customWidth="1"/>
    <col min="1908" max="1908" width="11.42578125" style="71"/>
    <col min="1909" max="1909" width="9.7109375" style="71" customWidth="1"/>
    <col min="1910" max="1910" width="11.7109375" style="71" customWidth="1"/>
    <col min="1911" max="1913" width="4.7109375" style="71" customWidth="1"/>
    <col min="1914" max="1914" width="5.7109375" style="71" customWidth="1"/>
    <col min="1915" max="1918" width="4.7109375" style="71" customWidth="1"/>
    <col min="1919" max="1919" width="5.7109375" style="71" customWidth="1"/>
    <col min="1920" max="1920" width="4.7109375" style="71" customWidth="1"/>
    <col min="1921" max="2012" width="2.7109375" style="71" customWidth="1"/>
    <col min="2013" max="2018" width="3.7109375" style="71" customWidth="1"/>
    <col min="2019" max="2161" width="11.42578125" style="71"/>
    <col min="2162" max="2162" width="26.7109375" style="71" customWidth="1"/>
    <col min="2163" max="2163" width="6.7109375" style="71" customWidth="1"/>
    <col min="2164" max="2164" width="11.42578125" style="71"/>
    <col min="2165" max="2165" width="9.7109375" style="71" customWidth="1"/>
    <col min="2166" max="2166" width="11.7109375" style="71" customWidth="1"/>
    <col min="2167" max="2169" width="4.7109375" style="71" customWidth="1"/>
    <col min="2170" max="2170" width="5.7109375" style="71" customWidth="1"/>
    <col min="2171" max="2174" width="4.7109375" style="71" customWidth="1"/>
    <col min="2175" max="2175" width="5.7109375" style="71" customWidth="1"/>
    <col min="2176" max="2176" width="4.7109375" style="71" customWidth="1"/>
    <col min="2177" max="2268" width="2.7109375" style="71" customWidth="1"/>
    <col min="2269" max="2274" width="3.7109375" style="71" customWidth="1"/>
    <col min="2275" max="2417" width="11.42578125" style="71"/>
    <col min="2418" max="2418" width="26.7109375" style="71" customWidth="1"/>
    <col min="2419" max="2419" width="6.7109375" style="71" customWidth="1"/>
    <col min="2420" max="2420" width="11.42578125" style="71"/>
    <col min="2421" max="2421" width="9.7109375" style="71" customWidth="1"/>
    <col min="2422" max="2422" width="11.7109375" style="71" customWidth="1"/>
    <col min="2423" max="2425" width="4.7109375" style="71" customWidth="1"/>
    <col min="2426" max="2426" width="5.7109375" style="71" customWidth="1"/>
    <col min="2427" max="2430" width="4.7109375" style="71" customWidth="1"/>
    <col min="2431" max="2431" width="5.7109375" style="71" customWidth="1"/>
    <col min="2432" max="2432" width="4.7109375" style="71" customWidth="1"/>
    <col min="2433" max="2524" width="2.7109375" style="71" customWidth="1"/>
    <col min="2525" max="2530" width="3.7109375" style="71" customWidth="1"/>
    <col min="2531" max="2673" width="11.42578125" style="71"/>
    <col min="2674" max="2674" width="26.7109375" style="71" customWidth="1"/>
    <col min="2675" max="2675" width="6.7109375" style="71" customWidth="1"/>
    <col min="2676" max="2676" width="11.42578125" style="71"/>
    <col min="2677" max="2677" width="9.7109375" style="71" customWidth="1"/>
    <col min="2678" max="2678" width="11.7109375" style="71" customWidth="1"/>
    <col min="2679" max="2681" width="4.7109375" style="71" customWidth="1"/>
    <col min="2682" max="2682" width="5.7109375" style="71" customWidth="1"/>
    <col min="2683" max="2686" width="4.7109375" style="71" customWidth="1"/>
    <col min="2687" max="2687" width="5.7109375" style="71" customWidth="1"/>
    <col min="2688" max="2688" width="4.7109375" style="71" customWidth="1"/>
    <col min="2689" max="2780" width="2.7109375" style="71" customWidth="1"/>
    <col min="2781" max="2786" width="3.7109375" style="71" customWidth="1"/>
    <col min="2787" max="2929" width="11.42578125" style="71"/>
    <col min="2930" max="2930" width="26.7109375" style="71" customWidth="1"/>
    <col min="2931" max="2931" width="6.7109375" style="71" customWidth="1"/>
    <col min="2932" max="2932" width="11.42578125" style="71"/>
    <col min="2933" max="2933" width="9.7109375" style="71" customWidth="1"/>
    <col min="2934" max="2934" width="11.7109375" style="71" customWidth="1"/>
    <col min="2935" max="2937" width="4.7109375" style="71" customWidth="1"/>
    <col min="2938" max="2938" width="5.7109375" style="71" customWidth="1"/>
    <col min="2939" max="2942" width="4.7109375" style="71" customWidth="1"/>
    <col min="2943" max="2943" width="5.7109375" style="71" customWidth="1"/>
    <col min="2944" max="2944" width="4.7109375" style="71" customWidth="1"/>
    <col min="2945" max="3036" width="2.7109375" style="71" customWidth="1"/>
    <col min="3037" max="3042" width="3.7109375" style="71" customWidth="1"/>
    <col min="3043" max="3185" width="11.42578125" style="71"/>
    <col min="3186" max="3186" width="26.7109375" style="71" customWidth="1"/>
    <col min="3187" max="3187" width="6.7109375" style="71" customWidth="1"/>
    <col min="3188" max="3188" width="11.42578125" style="71"/>
    <col min="3189" max="3189" width="9.7109375" style="71" customWidth="1"/>
    <col min="3190" max="3190" width="11.7109375" style="71" customWidth="1"/>
    <col min="3191" max="3193" width="4.7109375" style="71" customWidth="1"/>
    <col min="3194" max="3194" width="5.7109375" style="71" customWidth="1"/>
    <col min="3195" max="3198" width="4.7109375" style="71" customWidth="1"/>
    <col min="3199" max="3199" width="5.7109375" style="71" customWidth="1"/>
    <col min="3200" max="3200" width="4.7109375" style="71" customWidth="1"/>
    <col min="3201" max="3292" width="2.7109375" style="71" customWidth="1"/>
    <col min="3293" max="3298" width="3.7109375" style="71" customWidth="1"/>
    <col min="3299" max="3441" width="11.42578125" style="71"/>
    <col min="3442" max="3442" width="26.7109375" style="71" customWidth="1"/>
    <col min="3443" max="3443" width="6.7109375" style="71" customWidth="1"/>
    <col min="3444" max="3444" width="11.42578125" style="71"/>
    <col min="3445" max="3445" width="9.7109375" style="71" customWidth="1"/>
    <col min="3446" max="3446" width="11.7109375" style="71" customWidth="1"/>
    <col min="3447" max="3449" width="4.7109375" style="71" customWidth="1"/>
    <col min="3450" max="3450" width="5.7109375" style="71" customWidth="1"/>
    <col min="3451" max="3454" width="4.7109375" style="71" customWidth="1"/>
    <col min="3455" max="3455" width="5.7109375" style="71" customWidth="1"/>
    <col min="3456" max="3456" width="4.7109375" style="71" customWidth="1"/>
    <col min="3457" max="3548" width="2.7109375" style="71" customWidth="1"/>
    <col min="3549" max="3554" width="3.7109375" style="71" customWidth="1"/>
    <col min="3555" max="3697" width="11.42578125" style="71"/>
    <col min="3698" max="3698" width="26.7109375" style="71" customWidth="1"/>
    <col min="3699" max="3699" width="6.7109375" style="71" customWidth="1"/>
    <col min="3700" max="3700" width="11.42578125" style="71"/>
    <col min="3701" max="3701" width="9.7109375" style="71" customWidth="1"/>
    <col min="3702" max="3702" width="11.7109375" style="71" customWidth="1"/>
    <col min="3703" max="3705" width="4.7109375" style="71" customWidth="1"/>
    <col min="3706" max="3706" width="5.7109375" style="71" customWidth="1"/>
    <col min="3707" max="3710" width="4.7109375" style="71" customWidth="1"/>
    <col min="3711" max="3711" width="5.7109375" style="71" customWidth="1"/>
    <col min="3712" max="3712" width="4.7109375" style="71" customWidth="1"/>
    <col min="3713" max="3804" width="2.7109375" style="71" customWidth="1"/>
    <col min="3805" max="3810" width="3.7109375" style="71" customWidth="1"/>
    <col min="3811" max="3953" width="11.42578125" style="71"/>
    <col min="3954" max="3954" width="26.7109375" style="71" customWidth="1"/>
    <col min="3955" max="3955" width="6.7109375" style="71" customWidth="1"/>
    <col min="3956" max="3956" width="11.42578125" style="71"/>
    <col min="3957" max="3957" width="9.7109375" style="71" customWidth="1"/>
    <col min="3958" max="3958" width="11.7109375" style="71" customWidth="1"/>
    <col min="3959" max="3961" width="4.7109375" style="71" customWidth="1"/>
    <col min="3962" max="3962" width="5.7109375" style="71" customWidth="1"/>
    <col min="3963" max="3966" width="4.7109375" style="71" customWidth="1"/>
    <col min="3967" max="3967" width="5.7109375" style="71" customWidth="1"/>
    <col min="3968" max="3968" width="4.7109375" style="71" customWidth="1"/>
    <col min="3969" max="4060" width="2.7109375" style="71" customWidth="1"/>
    <col min="4061" max="4066" width="3.7109375" style="71" customWidth="1"/>
    <col min="4067" max="4209" width="11.42578125" style="71"/>
    <col min="4210" max="4210" width="26.7109375" style="71" customWidth="1"/>
    <col min="4211" max="4211" width="6.7109375" style="71" customWidth="1"/>
    <col min="4212" max="4212" width="11.42578125" style="71"/>
    <col min="4213" max="4213" width="9.7109375" style="71" customWidth="1"/>
    <col min="4214" max="4214" width="11.7109375" style="71" customWidth="1"/>
    <col min="4215" max="4217" width="4.7109375" style="71" customWidth="1"/>
    <col min="4218" max="4218" width="5.7109375" style="71" customWidth="1"/>
    <col min="4219" max="4222" width="4.7109375" style="71" customWidth="1"/>
    <col min="4223" max="4223" width="5.7109375" style="71" customWidth="1"/>
    <col min="4224" max="4224" width="4.7109375" style="71" customWidth="1"/>
    <col min="4225" max="4316" width="2.7109375" style="71" customWidth="1"/>
    <col min="4317" max="4322" width="3.7109375" style="71" customWidth="1"/>
    <col min="4323" max="4465" width="11.42578125" style="71"/>
    <col min="4466" max="4466" width="26.7109375" style="71" customWidth="1"/>
    <col min="4467" max="4467" width="6.7109375" style="71" customWidth="1"/>
    <col min="4468" max="4468" width="11.42578125" style="71"/>
    <col min="4469" max="4469" width="9.7109375" style="71" customWidth="1"/>
    <col min="4470" max="4470" width="11.7109375" style="71" customWidth="1"/>
    <col min="4471" max="4473" width="4.7109375" style="71" customWidth="1"/>
    <col min="4474" max="4474" width="5.7109375" style="71" customWidth="1"/>
    <col min="4475" max="4478" width="4.7109375" style="71" customWidth="1"/>
    <col min="4479" max="4479" width="5.7109375" style="71" customWidth="1"/>
    <col min="4480" max="4480" width="4.7109375" style="71" customWidth="1"/>
    <col min="4481" max="4572" width="2.7109375" style="71" customWidth="1"/>
    <col min="4573" max="4578" width="3.7109375" style="71" customWidth="1"/>
    <col min="4579" max="4721" width="11.42578125" style="71"/>
    <col min="4722" max="4722" width="26.7109375" style="71" customWidth="1"/>
    <col min="4723" max="4723" width="6.7109375" style="71" customWidth="1"/>
    <col min="4724" max="4724" width="11.42578125" style="71"/>
    <col min="4725" max="4725" width="9.7109375" style="71" customWidth="1"/>
    <col min="4726" max="4726" width="11.7109375" style="71" customWidth="1"/>
    <col min="4727" max="4729" width="4.7109375" style="71" customWidth="1"/>
    <col min="4730" max="4730" width="5.7109375" style="71" customWidth="1"/>
    <col min="4731" max="4734" width="4.7109375" style="71" customWidth="1"/>
    <col min="4735" max="4735" width="5.7109375" style="71" customWidth="1"/>
    <col min="4736" max="4736" width="4.7109375" style="71" customWidth="1"/>
    <col min="4737" max="4828" width="2.7109375" style="71" customWidth="1"/>
    <col min="4829" max="4834" width="3.7109375" style="71" customWidth="1"/>
    <col min="4835" max="4977" width="11.42578125" style="71"/>
    <col min="4978" max="4978" width="26.7109375" style="71" customWidth="1"/>
    <col min="4979" max="4979" width="6.7109375" style="71" customWidth="1"/>
    <col min="4980" max="4980" width="11.42578125" style="71"/>
    <col min="4981" max="4981" width="9.7109375" style="71" customWidth="1"/>
    <col min="4982" max="4982" width="11.7109375" style="71" customWidth="1"/>
    <col min="4983" max="4985" width="4.7109375" style="71" customWidth="1"/>
    <col min="4986" max="4986" width="5.7109375" style="71" customWidth="1"/>
    <col min="4987" max="4990" width="4.7109375" style="71" customWidth="1"/>
    <col min="4991" max="4991" width="5.7109375" style="71" customWidth="1"/>
    <col min="4992" max="4992" width="4.7109375" style="71" customWidth="1"/>
    <col min="4993" max="5084" width="2.7109375" style="71" customWidth="1"/>
    <col min="5085" max="5090" width="3.7109375" style="71" customWidth="1"/>
    <col min="5091" max="5233" width="11.42578125" style="71"/>
    <col min="5234" max="5234" width="26.7109375" style="71" customWidth="1"/>
    <col min="5235" max="5235" width="6.7109375" style="71" customWidth="1"/>
    <col min="5236" max="5236" width="11.42578125" style="71"/>
    <col min="5237" max="5237" width="9.7109375" style="71" customWidth="1"/>
    <col min="5238" max="5238" width="11.7109375" style="71" customWidth="1"/>
    <col min="5239" max="5241" width="4.7109375" style="71" customWidth="1"/>
    <col min="5242" max="5242" width="5.7109375" style="71" customWidth="1"/>
    <col min="5243" max="5246" width="4.7109375" style="71" customWidth="1"/>
    <col min="5247" max="5247" width="5.7109375" style="71" customWidth="1"/>
    <col min="5248" max="5248" width="4.7109375" style="71" customWidth="1"/>
    <col min="5249" max="5340" width="2.7109375" style="71" customWidth="1"/>
    <col min="5341" max="5346" width="3.7109375" style="71" customWidth="1"/>
    <col min="5347" max="5489" width="11.42578125" style="71"/>
    <col min="5490" max="5490" width="26.7109375" style="71" customWidth="1"/>
    <col min="5491" max="5491" width="6.7109375" style="71" customWidth="1"/>
    <col min="5492" max="5492" width="11.42578125" style="71"/>
    <col min="5493" max="5493" width="9.7109375" style="71" customWidth="1"/>
    <col min="5494" max="5494" width="11.7109375" style="71" customWidth="1"/>
    <col min="5495" max="5497" width="4.7109375" style="71" customWidth="1"/>
    <col min="5498" max="5498" width="5.7109375" style="71" customWidth="1"/>
    <col min="5499" max="5502" width="4.7109375" style="71" customWidth="1"/>
    <col min="5503" max="5503" width="5.7109375" style="71" customWidth="1"/>
    <col min="5504" max="5504" width="4.7109375" style="71" customWidth="1"/>
    <col min="5505" max="5596" width="2.7109375" style="71" customWidth="1"/>
    <col min="5597" max="5602" width="3.7109375" style="71" customWidth="1"/>
    <col min="5603" max="5745" width="11.42578125" style="71"/>
    <col min="5746" max="5746" width="26.7109375" style="71" customWidth="1"/>
    <col min="5747" max="5747" width="6.7109375" style="71" customWidth="1"/>
    <col min="5748" max="5748" width="11.42578125" style="71"/>
    <col min="5749" max="5749" width="9.7109375" style="71" customWidth="1"/>
    <col min="5750" max="5750" width="11.7109375" style="71" customWidth="1"/>
    <col min="5751" max="5753" width="4.7109375" style="71" customWidth="1"/>
    <col min="5754" max="5754" width="5.7109375" style="71" customWidth="1"/>
    <col min="5755" max="5758" width="4.7109375" style="71" customWidth="1"/>
    <col min="5759" max="5759" width="5.7109375" style="71" customWidth="1"/>
    <col min="5760" max="5760" width="4.7109375" style="71" customWidth="1"/>
    <col min="5761" max="5852" width="2.7109375" style="71" customWidth="1"/>
    <col min="5853" max="5858" width="3.7109375" style="71" customWidth="1"/>
    <col min="5859" max="6001" width="11.42578125" style="71"/>
    <col min="6002" max="6002" width="26.7109375" style="71" customWidth="1"/>
    <col min="6003" max="6003" width="6.7109375" style="71" customWidth="1"/>
    <col min="6004" max="6004" width="11.42578125" style="71"/>
    <col min="6005" max="6005" width="9.7109375" style="71" customWidth="1"/>
    <col min="6006" max="6006" width="11.7109375" style="71" customWidth="1"/>
    <col min="6007" max="6009" width="4.7109375" style="71" customWidth="1"/>
    <col min="6010" max="6010" width="5.7109375" style="71" customWidth="1"/>
    <col min="6011" max="6014" width="4.7109375" style="71" customWidth="1"/>
    <col min="6015" max="6015" width="5.7109375" style="71" customWidth="1"/>
    <col min="6016" max="6016" width="4.7109375" style="71" customWidth="1"/>
    <col min="6017" max="6108" width="2.7109375" style="71" customWidth="1"/>
    <col min="6109" max="6114" width="3.7109375" style="71" customWidth="1"/>
    <col min="6115" max="6257" width="11.42578125" style="71"/>
    <col min="6258" max="6258" width="26.7109375" style="71" customWidth="1"/>
    <col min="6259" max="6259" width="6.7109375" style="71" customWidth="1"/>
    <col min="6260" max="6260" width="11.42578125" style="71"/>
    <col min="6261" max="6261" width="9.7109375" style="71" customWidth="1"/>
    <col min="6262" max="6262" width="11.7109375" style="71" customWidth="1"/>
    <col min="6263" max="6265" width="4.7109375" style="71" customWidth="1"/>
    <col min="6266" max="6266" width="5.7109375" style="71" customWidth="1"/>
    <col min="6267" max="6270" width="4.7109375" style="71" customWidth="1"/>
    <col min="6271" max="6271" width="5.7109375" style="71" customWidth="1"/>
    <col min="6272" max="6272" width="4.7109375" style="71" customWidth="1"/>
    <col min="6273" max="6364" width="2.7109375" style="71" customWidth="1"/>
    <col min="6365" max="6370" width="3.7109375" style="71" customWidth="1"/>
    <col min="6371" max="6513" width="11.42578125" style="71"/>
    <col min="6514" max="6514" width="26.7109375" style="71" customWidth="1"/>
    <col min="6515" max="6515" width="6.7109375" style="71" customWidth="1"/>
    <col min="6516" max="6516" width="11.42578125" style="71"/>
    <col min="6517" max="6517" width="9.7109375" style="71" customWidth="1"/>
    <col min="6518" max="6518" width="11.7109375" style="71" customWidth="1"/>
    <col min="6519" max="6521" width="4.7109375" style="71" customWidth="1"/>
    <col min="6522" max="6522" width="5.7109375" style="71" customWidth="1"/>
    <col min="6523" max="6526" width="4.7109375" style="71" customWidth="1"/>
    <col min="6527" max="6527" width="5.7109375" style="71" customWidth="1"/>
    <col min="6528" max="6528" width="4.7109375" style="71" customWidth="1"/>
    <col min="6529" max="6620" width="2.7109375" style="71" customWidth="1"/>
    <col min="6621" max="6626" width="3.7109375" style="71" customWidth="1"/>
    <col min="6627" max="6769" width="11.42578125" style="71"/>
    <col min="6770" max="6770" width="26.7109375" style="71" customWidth="1"/>
    <col min="6771" max="6771" width="6.7109375" style="71" customWidth="1"/>
    <col min="6772" max="6772" width="11.42578125" style="71"/>
    <col min="6773" max="6773" width="9.7109375" style="71" customWidth="1"/>
    <col min="6774" max="6774" width="11.7109375" style="71" customWidth="1"/>
    <col min="6775" max="6777" width="4.7109375" style="71" customWidth="1"/>
    <col min="6778" max="6778" width="5.7109375" style="71" customWidth="1"/>
    <col min="6779" max="6782" width="4.7109375" style="71" customWidth="1"/>
    <col min="6783" max="6783" width="5.7109375" style="71" customWidth="1"/>
    <col min="6784" max="6784" width="4.7109375" style="71" customWidth="1"/>
    <col min="6785" max="6876" width="2.7109375" style="71" customWidth="1"/>
    <col min="6877" max="6882" width="3.7109375" style="71" customWidth="1"/>
    <col min="6883" max="7025" width="11.42578125" style="71"/>
    <col min="7026" max="7026" width="26.7109375" style="71" customWidth="1"/>
    <col min="7027" max="7027" width="6.7109375" style="71" customWidth="1"/>
    <col min="7028" max="7028" width="11.42578125" style="71"/>
    <col min="7029" max="7029" width="9.7109375" style="71" customWidth="1"/>
    <col min="7030" max="7030" width="11.7109375" style="71" customWidth="1"/>
    <col min="7031" max="7033" width="4.7109375" style="71" customWidth="1"/>
    <col min="7034" max="7034" width="5.7109375" style="71" customWidth="1"/>
    <col min="7035" max="7038" width="4.7109375" style="71" customWidth="1"/>
    <col min="7039" max="7039" width="5.7109375" style="71" customWidth="1"/>
    <col min="7040" max="7040" width="4.7109375" style="71" customWidth="1"/>
    <col min="7041" max="7132" width="2.7109375" style="71" customWidth="1"/>
    <col min="7133" max="7138" width="3.7109375" style="71" customWidth="1"/>
    <col min="7139" max="7281" width="11.42578125" style="71"/>
    <col min="7282" max="7282" width="26.7109375" style="71" customWidth="1"/>
    <col min="7283" max="7283" width="6.7109375" style="71" customWidth="1"/>
    <col min="7284" max="7284" width="11.42578125" style="71"/>
    <col min="7285" max="7285" width="9.7109375" style="71" customWidth="1"/>
    <col min="7286" max="7286" width="11.7109375" style="71" customWidth="1"/>
    <col min="7287" max="7289" width="4.7109375" style="71" customWidth="1"/>
    <col min="7290" max="7290" width="5.7109375" style="71" customWidth="1"/>
    <col min="7291" max="7294" width="4.7109375" style="71" customWidth="1"/>
    <col min="7295" max="7295" width="5.7109375" style="71" customWidth="1"/>
    <col min="7296" max="7296" width="4.7109375" style="71" customWidth="1"/>
    <col min="7297" max="7388" width="2.7109375" style="71" customWidth="1"/>
    <col min="7389" max="7394" width="3.7109375" style="71" customWidth="1"/>
    <col min="7395" max="7537" width="11.42578125" style="71"/>
    <col min="7538" max="7538" width="26.7109375" style="71" customWidth="1"/>
    <col min="7539" max="7539" width="6.7109375" style="71" customWidth="1"/>
    <col min="7540" max="7540" width="11.42578125" style="71"/>
    <col min="7541" max="7541" width="9.7109375" style="71" customWidth="1"/>
    <col min="7542" max="7542" width="11.7109375" style="71" customWidth="1"/>
    <col min="7543" max="7545" width="4.7109375" style="71" customWidth="1"/>
    <col min="7546" max="7546" width="5.7109375" style="71" customWidth="1"/>
    <col min="7547" max="7550" width="4.7109375" style="71" customWidth="1"/>
    <col min="7551" max="7551" width="5.7109375" style="71" customWidth="1"/>
    <col min="7552" max="7552" width="4.7109375" style="71" customWidth="1"/>
    <col min="7553" max="7644" width="2.7109375" style="71" customWidth="1"/>
    <col min="7645" max="7650" width="3.7109375" style="71" customWidth="1"/>
    <col min="7651" max="7793" width="11.42578125" style="71"/>
    <col min="7794" max="7794" width="26.7109375" style="71" customWidth="1"/>
    <col min="7795" max="7795" width="6.7109375" style="71" customWidth="1"/>
    <col min="7796" max="7796" width="11.42578125" style="71"/>
    <col min="7797" max="7797" width="9.7109375" style="71" customWidth="1"/>
    <col min="7798" max="7798" width="11.7109375" style="71" customWidth="1"/>
    <col min="7799" max="7801" width="4.7109375" style="71" customWidth="1"/>
    <col min="7802" max="7802" width="5.7109375" style="71" customWidth="1"/>
    <col min="7803" max="7806" width="4.7109375" style="71" customWidth="1"/>
    <col min="7807" max="7807" width="5.7109375" style="71" customWidth="1"/>
    <col min="7808" max="7808" width="4.7109375" style="71" customWidth="1"/>
    <col min="7809" max="7900" width="2.7109375" style="71" customWidth="1"/>
    <col min="7901" max="7906" width="3.7109375" style="71" customWidth="1"/>
    <col min="7907" max="8049" width="11.42578125" style="71"/>
    <col min="8050" max="8050" width="26.7109375" style="71" customWidth="1"/>
    <col min="8051" max="8051" width="6.7109375" style="71" customWidth="1"/>
    <col min="8052" max="8052" width="11.42578125" style="71"/>
    <col min="8053" max="8053" width="9.7109375" style="71" customWidth="1"/>
    <col min="8054" max="8054" width="11.7109375" style="71" customWidth="1"/>
    <col min="8055" max="8057" width="4.7109375" style="71" customWidth="1"/>
    <col min="8058" max="8058" width="5.7109375" style="71" customWidth="1"/>
    <col min="8059" max="8062" width="4.7109375" style="71" customWidth="1"/>
    <col min="8063" max="8063" width="5.7109375" style="71" customWidth="1"/>
    <col min="8064" max="8064" width="4.7109375" style="71" customWidth="1"/>
    <col min="8065" max="8156" width="2.7109375" style="71" customWidth="1"/>
    <col min="8157" max="8162" width="3.7109375" style="71" customWidth="1"/>
    <col min="8163" max="8305" width="11.42578125" style="71"/>
    <col min="8306" max="8306" width="26.7109375" style="71" customWidth="1"/>
    <col min="8307" max="8307" width="6.7109375" style="71" customWidth="1"/>
    <col min="8308" max="8308" width="11.42578125" style="71"/>
    <col min="8309" max="8309" width="9.7109375" style="71" customWidth="1"/>
    <col min="8310" max="8310" width="11.7109375" style="71" customWidth="1"/>
    <col min="8311" max="8313" width="4.7109375" style="71" customWidth="1"/>
    <col min="8314" max="8314" width="5.7109375" style="71" customWidth="1"/>
    <col min="8315" max="8318" width="4.7109375" style="71" customWidth="1"/>
    <col min="8319" max="8319" width="5.7109375" style="71" customWidth="1"/>
    <col min="8320" max="8320" width="4.7109375" style="71" customWidth="1"/>
    <col min="8321" max="8412" width="2.7109375" style="71" customWidth="1"/>
    <col min="8413" max="8418" width="3.7109375" style="71" customWidth="1"/>
    <col min="8419" max="8561" width="11.42578125" style="71"/>
    <col min="8562" max="8562" width="26.7109375" style="71" customWidth="1"/>
    <col min="8563" max="8563" width="6.7109375" style="71" customWidth="1"/>
    <col min="8564" max="8564" width="11.42578125" style="71"/>
    <col min="8565" max="8565" width="9.7109375" style="71" customWidth="1"/>
    <col min="8566" max="8566" width="11.7109375" style="71" customWidth="1"/>
    <col min="8567" max="8569" width="4.7109375" style="71" customWidth="1"/>
    <col min="8570" max="8570" width="5.7109375" style="71" customWidth="1"/>
    <col min="8571" max="8574" width="4.7109375" style="71" customWidth="1"/>
    <col min="8575" max="8575" width="5.7109375" style="71" customWidth="1"/>
    <col min="8576" max="8576" width="4.7109375" style="71" customWidth="1"/>
    <col min="8577" max="8668" width="2.7109375" style="71" customWidth="1"/>
    <col min="8669" max="8674" width="3.7109375" style="71" customWidth="1"/>
    <col min="8675" max="8817" width="11.42578125" style="71"/>
    <col min="8818" max="8818" width="26.7109375" style="71" customWidth="1"/>
    <col min="8819" max="8819" width="6.7109375" style="71" customWidth="1"/>
    <col min="8820" max="8820" width="11.42578125" style="71"/>
    <col min="8821" max="8821" width="9.7109375" style="71" customWidth="1"/>
    <col min="8822" max="8822" width="11.7109375" style="71" customWidth="1"/>
    <col min="8823" max="8825" width="4.7109375" style="71" customWidth="1"/>
    <col min="8826" max="8826" width="5.7109375" style="71" customWidth="1"/>
    <col min="8827" max="8830" width="4.7109375" style="71" customWidth="1"/>
    <col min="8831" max="8831" width="5.7109375" style="71" customWidth="1"/>
    <col min="8832" max="8832" width="4.7109375" style="71" customWidth="1"/>
    <col min="8833" max="8924" width="2.7109375" style="71" customWidth="1"/>
    <col min="8925" max="8930" width="3.7109375" style="71" customWidth="1"/>
    <col min="8931" max="9073" width="11.42578125" style="71"/>
    <col min="9074" max="9074" width="26.7109375" style="71" customWidth="1"/>
    <col min="9075" max="9075" width="6.7109375" style="71" customWidth="1"/>
    <col min="9076" max="9076" width="11.42578125" style="71"/>
    <col min="9077" max="9077" width="9.7109375" style="71" customWidth="1"/>
    <col min="9078" max="9078" width="11.7109375" style="71" customWidth="1"/>
    <col min="9079" max="9081" width="4.7109375" style="71" customWidth="1"/>
    <col min="9082" max="9082" width="5.7109375" style="71" customWidth="1"/>
    <col min="9083" max="9086" width="4.7109375" style="71" customWidth="1"/>
    <col min="9087" max="9087" width="5.7109375" style="71" customWidth="1"/>
    <col min="9088" max="9088" width="4.7109375" style="71" customWidth="1"/>
    <col min="9089" max="9180" width="2.7109375" style="71" customWidth="1"/>
    <col min="9181" max="9186" width="3.7109375" style="71" customWidth="1"/>
    <col min="9187" max="9329" width="11.42578125" style="71"/>
    <col min="9330" max="9330" width="26.7109375" style="71" customWidth="1"/>
    <col min="9331" max="9331" width="6.7109375" style="71" customWidth="1"/>
    <col min="9332" max="9332" width="11.42578125" style="71"/>
    <col min="9333" max="9333" width="9.7109375" style="71" customWidth="1"/>
    <col min="9334" max="9334" width="11.7109375" style="71" customWidth="1"/>
    <col min="9335" max="9337" width="4.7109375" style="71" customWidth="1"/>
    <col min="9338" max="9338" width="5.7109375" style="71" customWidth="1"/>
    <col min="9339" max="9342" width="4.7109375" style="71" customWidth="1"/>
    <col min="9343" max="9343" width="5.7109375" style="71" customWidth="1"/>
    <col min="9344" max="9344" width="4.7109375" style="71" customWidth="1"/>
    <col min="9345" max="9436" width="2.7109375" style="71" customWidth="1"/>
    <col min="9437" max="9442" width="3.7109375" style="71" customWidth="1"/>
    <col min="9443" max="9585" width="11.42578125" style="71"/>
    <col min="9586" max="9586" width="26.7109375" style="71" customWidth="1"/>
    <col min="9587" max="9587" width="6.7109375" style="71" customWidth="1"/>
    <col min="9588" max="9588" width="11.42578125" style="71"/>
    <col min="9589" max="9589" width="9.7109375" style="71" customWidth="1"/>
    <col min="9590" max="9590" width="11.7109375" style="71" customWidth="1"/>
    <col min="9591" max="9593" width="4.7109375" style="71" customWidth="1"/>
    <col min="9594" max="9594" width="5.7109375" style="71" customWidth="1"/>
    <col min="9595" max="9598" width="4.7109375" style="71" customWidth="1"/>
    <col min="9599" max="9599" width="5.7109375" style="71" customWidth="1"/>
    <col min="9600" max="9600" width="4.7109375" style="71" customWidth="1"/>
    <col min="9601" max="9692" width="2.7109375" style="71" customWidth="1"/>
    <col min="9693" max="9698" width="3.7109375" style="71" customWidth="1"/>
    <col min="9699" max="9841" width="11.42578125" style="71"/>
    <col min="9842" max="9842" width="26.7109375" style="71" customWidth="1"/>
    <col min="9843" max="9843" width="6.7109375" style="71" customWidth="1"/>
    <col min="9844" max="9844" width="11.42578125" style="71"/>
    <col min="9845" max="9845" width="9.7109375" style="71" customWidth="1"/>
    <col min="9846" max="9846" width="11.7109375" style="71" customWidth="1"/>
    <col min="9847" max="9849" width="4.7109375" style="71" customWidth="1"/>
    <col min="9850" max="9850" width="5.7109375" style="71" customWidth="1"/>
    <col min="9851" max="9854" width="4.7109375" style="71" customWidth="1"/>
    <col min="9855" max="9855" width="5.7109375" style="71" customWidth="1"/>
    <col min="9856" max="9856" width="4.7109375" style="71" customWidth="1"/>
    <col min="9857" max="9948" width="2.7109375" style="71" customWidth="1"/>
    <col min="9949" max="9954" width="3.7109375" style="71" customWidth="1"/>
    <col min="9955" max="10097" width="11.42578125" style="71"/>
    <col min="10098" max="10098" width="26.7109375" style="71" customWidth="1"/>
    <col min="10099" max="10099" width="6.7109375" style="71" customWidth="1"/>
    <col min="10100" max="10100" width="11.42578125" style="71"/>
    <col min="10101" max="10101" width="9.7109375" style="71" customWidth="1"/>
    <col min="10102" max="10102" width="11.7109375" style="71" customWidth="1"/>
    <col min="10103" max="10105" width="4.7109375" style="71" customWidth="1"/>
    <col min="10106" max="10106" width="5.7109375" style="71" customWidth="1"/>
    <col min="10107" max="10110" width="4.7109375" style="71" customWidth="1"/>
    <col min="10111" max="10111" width="5.7109375" style="71" customWidth="1"/>
    <col min="10112" max="10112" width="4.7109375" style="71" customWidth="1"/>
    <col min="10113" max="10204" width="2.7109375" style="71" customWidth="1"/>
    <col min="10205" max="10210" width="3.7109375" style="71" customWidth="1"/>
    <col min="10211" max="10353" width="11.42578125" style="71"/>
    <col min="10354" max="10354" width="26.7109375" style="71" customWidth="1"/>
    <col min="10355" max="10355" width="6.7109375" style="71" customWidth="1"/>
    <col min="10356" max="10356" width="11.42578125" style="71"/>
    <col min="10357" max="10357" width="9.7109375" style="71" customWidth="1"/>
    <col min="10358" max="10358" width="11.7109375" style="71" customWidth="1"/>
    <col min="10359" max="10361" width="4.7109375" style="71" customWidth="1"/>
    <col min="10362" max="10362" width="5.7109375" style="71" customWidth="1"/>
    <col min="10363" max="10366" width="4.7109375" style="71" customWidth="1"/>
    <col min="10367" max="10367" width="5.7109375" style="71" customWidth="1"/>
    <col min="10368" max="10368" width="4.7109375" style="71" customWidth="1"/>
    <col min="10369" max="10460" width="2.7109375" style="71" customWidth="1"/>
    <col min="10461" max="10466" width="3.7109375" style="71" customWidth="1"/>
    <col min="10467" max="10609" width="11.42578125" style="71"/>
    <col min="10610" max="10610" width="26.7109375" style="71" customWidth="1"/>
    <col min="10611" max="10611" width="6.7109375" style="71" customWidth="1"/>
    <col min="10612" max="10612" width="11.42578125" style="71"/>
    <col min="10613" max="10613" width="9.7109375" style="71" customWidth="1"/>
    <col min="10614" max="10614" width="11.7109375" style="71" customWidth="1"/>
    <col min="10615" max="10617" width="4.7109375" style="71" customWidth="1"/>
    <col min="10618" max="10618" width="5.7109375" style="71" customWidth="1"/>
    <col min="10619" max="10622" width="4.7109375" style="71" customWidth="1"/>
    <col min="10623" max="10623" width="5.7109375" style="71" customWidth="1"/>
    <col min="10624" max="10624" width="4.7109375" style="71" customWidth="1"/>
    <col min="10625" max="10716" width="2.7109375" style="71" customWidth="1"/>
    <col min="10717" max="10722" width="3.7109375" style="71" customWidth="1"/>
    <col min="10723" max="10865" width="11.42578125" style="71"/>
    <col min="10866" max="10866" width="26.7109375" style="71" customWidth="1"/>
    <col min="10867" max="10867" width="6.7109375" style="71" customWidth="1"/>
    <col min="10868" max="10868" width="11.42578125" style="71"/>
    <col min="10869" max="10869" width="9.7109375" style="71" customWidth="1"/>
    <col min="10870" max="10870" width="11.7109375" style="71" customWidth="1"/>
    <col min="10871" max="10873" width="4.7109375" style="71" customWidth="1"/>
    <col min="10874" max="10874" width="5.7109375" style="71" customWidth="1"/>
    <col min="10875" max="10878" width="4.7109375" style="71" customWidth="1"/>
    <col min="10879" max="10879" width="5.7109375" style="71" customWidth="1"/>
    <col min="10880" max="10880" width="4.7109375" style="71" customWidth="1"/>
    <col min="10881" max="10972" width="2.7109375" style="71" customWidth="1"/>
    <col min="10973" max="10978" width="3.7109375" style="71" customWidth="1"/>
    <col min="10979" max="11121" width="11.42578125" style="71"/>
    <col min="11122" max="11122" width="26.7109375" style="71" customWidth="1"/>
    <col min="11123" max="11123" width="6.7109375" style="71" customWidth="1"/>
    <col min="11124" max="11124" width="11.42578125" style="71"/>
    <col min="11125" max="11125" width="9.7109375" style="71" customWidth="1"/>
    <col min="11126" max="11126" width="11.7109375" style="71" customWidth="1"/>
    <col min="11127" max="11129" width="4.7109375" style="71" customWidth="1"/>
    <col min="11130" max="11130" width="5.7109375" style="71" customWidth="1"/>
    <col min="11131" max="11134" width="4.7109375" style="71" customWidth="1"/>
    <col min="11135" max="11135" width="5.7109375" style="71" customWidth="1"/>
    <col min="11136" max="11136" width="4.7109375" style="71" customWidth="1"/>
    <col min="11137" max="11228" width="2.7109375" style="71" customWidth="1"/>
    <col min="11229" max="11234" width="3.7109375" style="71" customWidth="1"/>
    <col min="11235" max="11377" width="11.42578125" style="71"/>
    <col min="11378" max="11378" width="26.7109375" style="71" customWidth="1"/>
    <col min="11379" max="11379" width="6.7109375" style="71" customWidth="1"/>
    <col min="11380" max="11380" width="11.42578125" style="71"/>
    <col min="11381" max="11381" width="9.7109375" style="71" customWidth="1"/>
    <col min="11382" max="11382" width="11.7109375" style="71" customWidth="1"/>
    <col min="11383" max="11385" width="4.7109375" style="71" customWidth="1"/>
    <col min="11386" max="11386" width="5.7109375" style="71" customWidth="1"/>
    <col min="11387" max="11390" width="4.7109375" style="71" customWidth="1"/>
    <col min="11391" max="11391" width="5.7109375" style="71" customWidth="1"/>
    <col min="11392" max="11392" width="4.7109375" style="71" customWidth="1"/>
    <col min="11393" max="11484" width="2.7109375" style="71" customWidth="1"/>
    <col min="11485" max="11490" width="3.7109375" style="71" customWidth="1"/>
    <col min="11491" max="11633" width="11.42578125" style="71"/>
    <col min="11634" max="11634" width="26.7109375" style="71" customWidth="1"/>
    <col min="11635" max="11635" width="6.7109375" style="71" customWidth="1"/>
    <col min="11636" max="11636" width="11.42578125" style="71"/>
    <col min="11637" max="11637" width="9.7109375" style="71" customWidth="1"/>
    <col min="11638" max="11638" width="11.7109375" style="71" customWidth="1"/>
    <col min="11639" max="11641" width="4.7109375" style="71" customWidth="1"/>
    <col min="11642" max="11642" width="5.7109375" style="71" customWidth="1"/>
    <col min="11643" max="11646" width="4.7109375" style="71" customWidth="1"/>
    <col min="11647" max="11647" width="5.7109375" style="71" customWidth="1"/>
    <col min="11648" max="11648" width="4.7109375" style="71" customWidth="1"/>
    <col min="11649" max="11740" width="2.7109375" style="71" customWidth="1"/>
    <col min="11741" max="11746" width="3.7109375" style="71" customWidth="1"/>
    <col min="11747" max="11889" width="11.42578125" style="71"/>
    <col min="11890" max="11890" width="26.7109375" style="71" customWidth="1"/>
    <col min="11891" max="11891" width="6.7109375" style="71" customWidth="1"/>
    <col min="11892" max="11892" width="11.42578125" style="71"/>
    <col min="11893" max="11893" width="9.7109375" style="71" customWidth="1"/>
    <col min="11894" max="11894" width="11.7109375" style="71" customWidth="1"/>
    <col min="11895" max="11897" width="4.7109375" style="71" customWidth="1"/>
    <col min="11898" max="11898" width="5.7109375" style="71" customWidth="1"/>
    <col min="11899" max="11902" width="4.7109375" style="71" customWidth="1"/>
    <col min="11903" max="11903" width="5.7109375" style="71" customWidth="1"/>
    <col min="11904" max="11904" width="4.7109375" style="71" customWidth="1"/>
    <col min="11905" max="11996" width="2.7109375" style="71" customWidth="1"/>
    <col min="11997" max="12002" width="3.7109375" style="71" customWidth="1"/>
    <col min="12003" max="12145" width="11.42578125" style="71"/>
    <col min="12146" max="12146" width="26.7109375" style="71" customWidth="1"/>
    <col min="12147" max="12147" width="6.7109375" style="71" customWidth="1"/>
    <col min="12148" max="12148" width="11.42578125" style="71"/>
    <col min="12149" max="12149" width="9.7109375" style="71" customWidth="1"/>
    <col min="12150" max="12150" width="11.7109375" style="71" customWidth="1"/>
    <col min="12151" max="12153" width="4.7109375" style="71" customWidth="1"/>
    <col min="12154" max="12154" width="5.7109375" style="71" customWidth="1"/>
    <col min="12155" max="12158" width="4.7109375" style="71" customWidth="1"/>
    <col min="12159" max="12159" width="5.7109375" style="71" customWidth="1"/>
    <col min="12160" max="12160" width="4.7109375" style="71" customWidth="1"/>
    <col min="12161" max="12252" width="2.7109375" style="71" customWidth="1"/>
    <col min="12253" max="12258" width="3.7109375" style="71" customWidth="1"/>
    <col min="12259" max="12401" width="11.42578125" style="71"/>
    <col min="12402" max="12402" width="26.7109375" style="71" customWidth="1"/>
    <col min="12403" max="12403" width="6.7109375" style="71" customWidth="1"/>
    <col min="12404" max="12404" width="11.42578125" style="71"/>
    <col min="12405" max="12405" width="9.7109375" style="71" customWidth="1"/>
    <col min="12406" max="12406" width="11.7109375" style="71" customWidth="1"/>
    <col min="12407" max="12409" width="4.7109375" style="71" customWidth="1"/>
    <col min="12410" max="12410" width="5.7109375" style="71" customWidth="1"/>
    <col min="12411" max="12414" width="4.7109375" style="71" customWidth="1"/>
    <col min="12415" max="12415" width="5.7109375" style="71" customWidth="1"/>
    <col min="12416" max="12416" width="4.7109375" style="71" customWidth="1"/>
    <col min="12417" max="12508" width="2.7109375" style="71" customWidth="1"/>
    <col min="12509" max="12514" width="3.7109375" style="71" customWidth="1"/>
    <col min="12515" max="12657" width="11.42578125" style="71"/>
    <col min="12658" max="12658" width="26.7109375" style="71" customWidth="1"/>
    <col min="12659" max="12659" width="6.7109375" style="71" customWidth="1"/>
    <col min="12660" max="12660" width="11.42578125" style="71"/>
    <col min="12661" max="12661" width="9.7109375" style="71" customWidth="1"/>
    <col min="12662" max="12662" width="11.7109375" style="71" customWidth="1"/>
    <col min="12663" max="12665" width="4.7109375" style="71" customWidth="1"/>
    <col min="12666" max="12666" width="5.7109375" style="71" customWidth="1"/>
    <col min="12667" max="12670" width="4.7109375" style="71" customWidth="1"/>
    <col min="12671" max="12671" width="5.7109375" style="71" customWidth="1"/>
    <col min="12672" max="12672" width="4.7109375" style="71" customWidth="1"/>
    <col min="12673" max="12764" width="2.7109375" style="71" customWidth="1"/>
    <col min="12765" max="12770" width="3.7109375" style="71" customWidth="1"/>
    <col min="12771" max="12913" width="11.42578125" style="71"/>
    <col min="12914" max="12914" width="26.7109375" style="71" customWidth="1"/>
    <col min="12915" max="12915" width="6.7109375" style="71" customWidth="1"/>
    <col min="12916" max="12916" width="11.42578125" style="71"/>
    <col min="12917" max="12917" width="9.7109375" style="71" customWidth="1"/>
    <col min="12918" max="12918" width="11.7109375" style="71" customWidth="1"/>
    <col min="12919" max="12921" width="4.7109375" style="71" customWidth="1"/>
    <col min="12922" max="12922" width="5.7109375" style="71" customWidth="1"/>
    <col min="12923" max="12926" width="4.7109375" style="71" customWidth="1"/>
    <col min="12927" max="12927" width="5.7109375" style="71" customWidth="1"/>
    <col min="12928" max="12928" width="4.7109375" style="71" customWidth="1"/>
    <col min="12929" max="13020" width="2.7109375" style="71" customWidth="1"/>
    <col min="13021" max="13026" width="3.7109375" style="71" customWidth="1"/>
    <col min="13027" max="13169" width="11.42578125" style="71"/>
    <col min="13170" max="13170" width="26.7109375" style="71" customWidth="1"/>
    <col min="13171" max="13171" width="6.7109375" style="71" customWidth="1"/>
    <col min="13172" max="13172" width="11.42578125" style="71"/>
    <col min="13173" max="13173" width="9.7109375" style="71" customWidth="1"/>
    <col min="13174" max="13174" width="11.7109375" style="71" customWidth="1"/>
    <col min="13175" max="13177" width="4.7109375" style="71" customWidth="1"/>
    <col min="13178" max="13178" width="5.7109375" style="71" customWidth="1"/>
    <col min="13179" max="13182" width="4.7109375" style="71" customWidth="1"/>
    <col min="13183" max="13183" width="5.7109375" style="71" customWidth="1"/>
    <col min="13184" max="13184" width="4.7109375" style="71" customWidth="1"/>
    <col min="13185" max="13276" width="2.7109375" style="71" customWidth="1"/>
    <col min="13277" max="13282" width="3.7109375" style="71" customWidth="1"/>
    <col min="13283" max="13425" width="11.42578125" style="71"/>
    <col min="13426" max="13426" width="26.7109375" style="71" customWidth="1"/>
    <col min="13427" max="13427" width="6.7109375" style="71" customWidth="1"/>
    <col min="13428" max="13428" width="11.42578125" style="71"/>
    <col min="13429" max="13429" width="9.7109375" style="71" customWidth="1"/>
    <col min="13430" max="13430" width="11.7109375" style="71" customWidth="1"/>
    <col min="13431" max="13433" width="4.7109375" style="71" customWidth="1"/>
    <col min="13434" max="13434" width="5.7109375" style="71" customWidth="1"/>
    <col min="13435" max="13438" width="4.7109375" style="71" customWidth="1"/>
    <col min="13439" max="13439" width="5.7109375" style="71" customWidth="1"/>
    <col min="13440" max="13440" width="4.7109375" style="71" customWidth="1"/>
    <col min="13441" max="13532" width="2.7109375" style="71" customWidth="1"/>
    <col min="13533" max="13538" width="3.7109375" style="71" customWidth="1"/>
    <col min="13539" max="13681" width="11.42578125" style="71"/>
    <col min="13682" max="13682" width="26.7109375" style="71" customWidth="1"/>
    <col min="13683" max="13683" width="6.7109375" style="71" customWidth="1"/>
    <col min="13684" max="13684" width="11.42578125" style="71"/>
    <col min="13685" max="13685" width="9.7109375" style="71" customWidth="1"/>
    <col min="13686" max="13686" width="11.7109375" style="71" customWidth="1"/>
    <col min="13687" max="13689" width="4.7109375" style="71" customWidth="1"/>
    <col min="13690" max="13690" width="5.7109375" style="71" customWidth="1"/>
    <col min="13691" max="13694" width="4.7109375" style="71" customWidth="1"/>
    <col min="13695" max="13695" width="5.7109375" style="71" customWidth="1"/>
    <col min="13696" max="13696" width="4.7109375" style="71" customWidth="1"/>
    <col min="13697" max="13788" width="2.7109375" style="71" customWidth="1"/>
    <col min="13789" max="13794" width="3.7109375" style="71" customWidth="1"/>
    <col min="13795" max="13937" width="11.42578125" style="71"/>
    <col min="13938" max="13938" width="26.7109375" style="71" customWidth="1"/>
    <col min="13939" max="13939" width="6.7109375" style="71" customWidth="1"/>
    <col min="13940" max="13940" width="11.42578125" style="71"/>
    <col min="13941" max="13941" width="9.7109375" style="71" customWidth="1"/>
    <col min="13942" max="13942" width="11.7109375" style="71" customWidth="1"/>
    <col min="13943" max="13945" width="4.7109375" style="71" customWidth="1"/>
    <col min="13946" max="13946" width="5.7109375" style="71" customWidth="1"/>
    <col min="13947" max="13950" width="4.7109375" style="71" customWidth="1"/>
    <col min="13951" max="13951" width="5.7109375" style="71" customWidth="1"/>
    <col min="13952" max="13952" width="4.7109375" style="71" customWidth="1"/>
    <col min="13953" max="14044" width="2.7109375" style="71" customWidth="1"/>
    <col min="14045" max="14050" width="3.7109375" style="71" customWidth="1"/>
    <col min="14051" max="14193" width="11.42578125" style="71"/>
    <col min="14194" max="14194" width="26.7109375" style="71" customWidth="1"/>
    <col min="14195" max="14195" width="6.7109375" style="71" customWidth="1"/>
    <col min="14196" max="14196" width="11.42578125" style="71"/>
    <col min="14197" max="14197" width="9.7109375" style="71" customWidth="1"/>
    <col min="14198" max="14198" width="11.7109375" style="71" customWidth="1"/>
    <col min="14199" max="14201" width="4.7109375" style="71" customWidth="1"/>
    <col min="14202" max="14202" width="5.7109375" style="71" customWidth="1"/>
    <col min="14203" max="14206" width="4.7109375" style="71" customWidth="1"/>
    <col min="14207" max="14207" width="5.7109375" style="71" customWidth="1"/>
    <col min="14208" max="14208" width="4.7109375" style="71" customWidth="1"/>
    <col min="14209" max="14300" width="2.7109375" style="71" customWidth="1"/>
    <col min="14301" max="14306" width="3.7109375" style="71" customWidth="1"/>
    <col min="14307" max="14449" width="11.42578125" style="71"/>
    <col min="14450" max="14450" width="26.7109375" style="71" customWidth="1"/>
    <col min="14451" max="14451" width="6.7109375" style="71" customWidth="1"/>
    <col min="14452" max="14452" width="11.42578125" style="71"/>
    <col min="14453" max="14453" width="9.7109375" style="71" customWidth="1"/>
    <col min="14454" max="14454" width="11.7109375" style="71" customWidth="1"/>
    <col min="14455" max="14457" width="4.7109375" style="71" customWidth="1"/>
    <col min="14458" max="14458" width="5.7109375" style="71" customWidth="1"/>
    <col min="14459" max="14462" width="4.7109375" style="71" customWidth="1"/>
    <col min="14463" max="14463" width="5.7109375" style="71" customWidth="1"/>
    <col min="14464" max="14464" width="4.7109375" style="71" customWidth="1"/>
    <col min="14465" max="14556" width="2.7109375" style="71" customWidth="1"/>
    <col min="14557" max="14562" width="3.7109375" style="71" customWidth="1"/>
    <col min="14563" max="14705" width="11.42578125" style="71"/>
    <col min="14706" max="14706" width="26.7109375" style="71" customWidth="1"/>
    <col min="14707" max="14707" width="6.7109375" style="71" customWidth="1"/>
    <col min="14708" max="14708" width="11.42578125" style="71"/>
    <col min="14709" max="14709" width="9.7109375" style="71" customWidth="1"/>
    <col min="14710" max="14710" width="11.7109375" style="71" customWidth="1"/>
    <col min="14711" max="14713" width="4.7109375" style="71" customWidth="1"/>
    <col min="14714" max="14714" width="5.7109375" style="71" customWidth="1"/>
    <col min="14715" max="14718" width="4.7109375" style="71" customWidth="1"/>
    <col min="14719" max="14719" width="5.7109375" style="71" customWidth="1"/>
    <col min="14720" max="14720" width="4.7109375" style="71" customWidth="1"/>
    <col min="14721" max="14812" width="2.7109375" style="71" customWidth="1"/>
    <col min="14813" max="14818" width="3.7109375" style="71" customWidth="1"/>
    <col min="14819" max="14961" width="11.42578125" style="71"/>
    <col min="14962" max="14962" width="26.7109375" style="71" customWidth="1"/>
    <col min="14963" max="14963" width="6.7109375" style="71" customWidth="1"/>
    <col min="14964" max="14964" width="11.42578125" style="71"/>
    <col min="14965" max="14965" width="9.7109375" style="71" customWidth="1"/>
    <col min="14966" max="14966" width="11.7109375" style="71" customWidth="1"/>
    <col min="14967" max="14969" width="4.7109375" style="71" customWidth="1"/>
    <col min="14970" max="14970" width="5.7109375" style="71" customWidth="1"/>
    <col min="14971" max="14974" width="4.7109375" style="71" customWidth="1"/>
    <col min="14975" max="14975" width="5.7109375" style="71" customWidth="1"/>
    <col min="14976" max="14976" width="4.7109375" style="71" customWidth="1"/>
    <col min="14977" max="15068" width="2.7109375" style="71" customWidth="1"/>
    <col min="15069" max="15074" width="3.7109375" style="71" customWidth="1"/>
    <col min="15075" max="15217" width="11.42578125" style="71"/>
    <col min="15218" max="15218" width="26.7109375" style="71" customWidth="1"/>
    <col min="15219" max="15219" width="6.7109375" style="71" customWidth="1"/>
    <col min="15220" max="15220" width="11.42578125" style="71"/>
    <col min="15221" max="15221" width="9.7109375" style="71" customWidth="1"/>
    <col min="15222" max="15222" width="11.7109375" style="71" customWidth="1"/>
    <col min="15223" max="15225" width="4.7109375" style="71" customWidth="1"/>
    <col min="15226" max="15226" width="5.7109375" style="71" customWidth="1"/>
    <col min="15227" max="15230" width="4.7109375" style="71" customWidth="1"/>
    <col min="15231" max="15231" width="5.7109375" style="71" customWidth="1"/>
    <col min="15232" max="15232" width="4.7109375" style="71" customWidth="1"/>
    <col min="15233" max="15324" width="2.7109375" style="71" customWidth="1"/>
    <col min="15325" max="15330" width="3.7109375" style="71" customWidth="1"/>
    <col min="15331" max="15473" width="11.42578125" style="71"/>
    <col min="15474" max="15474" width="26.7109375" style="71" customWidth="1"/>
    <col min="15475" max="15475" width="6.7109375" style="71" customWidth="1"/>
    <col min="15476" max="15476" width="11.42578125" style="71"/>
    <col min="15477" max="15477" width="9.7109375" style="71" customWidth="1"/>
    <col min="15478" max="15478" width="11.7109375" style="71" customWidth="1"/>
    <col min="15479" max="15481" width="4.7109375" style="71" customWidth="1"/>
    <col min="15482" max="15482" width="5.7109375" style="71" customWidth="1"/>
    <col min="15483" max="15486" width="4.7109375" style="71" customWidth="1"/>
    <col min="15487" max="15487" width="5.7109375" style="71" customWidth="1"/>
    <col min="15488" max="15488" width="4.7109375" style="71" customWidth="1"/>
    <col min="15489" max="15580" width="2.7109375" style="71" customWidth="1"/>
    <col min="15581" max="15586" width="3.7109375" style="71" customWidth="1"/>
    <col min="15587" max="15729" width="11.42578125" style="71"/>
    <col min="15730" max="15730" width="26.7109375" style="71" customWidth="1"/>
    <col min="15731" max="15731" width="6.7109375" style="71" customWidth="1"/>
    <col min="15732" max="15732" width="11.42578125" style="71"/>
    <col min="15733" max="15733" width="9.7109375" style="71" customWidth="1"/>
    <col min="15734" max="15734" width="11.7109375" style="71" customWidth="1"/>
    <col min="15735" max="15737" width="4.7109375" style="71" customWidth="1"/>
    <col min="15738" max="15738" width="5.7109375" style="71" customWidth="1"/>
    <col min="15739" max="15742" width="4.7109375" style="71" customWidth="1"/>
    <col min="15743" max="15743" width="5.7109375" style="71" customWidth="1"/>
    <col min="15744" max="15744" width="4.7109375" style="71" customWidth="1"/>
    <col min="15745" max="15836" width="2.7109375" style="71" customWidth="1"/>
    <col min="15837" max="15842" width="3.7109375" style="71" customWidth="1"/>
    <col min="15843" max="15985" width="11.42578125" style="71"/>
    <col min="15986" max="15986" width="26.7109375" style="71" customWidth="1"/>
    <col min="15987" max="15987" width="6.7109375" style="71" customWidth="1"/>
    <col min="15988" max="15988" width="11.42578125" style="71"/>
    <col min="15989" max="15989" width="9.7109375" style="71" customWidth="1"/>
    <col min="15990" max="15990" width="11.7109375" style="71" customWidth="1"/>
    <col min="15991" max="15993" width="4.7109375" style="71" customWidth="1"/>
    <col min="15994" max="15994" width="5.7109375" style="71" customWidth="1"/>
    <col min="15995" max="15998" width="4.7109375" style="71" customWidth="1"/>
    <col min="15999" max="15999" width="5.7109375" style="71" customWidth="1"/>
    <col min="16000" max="16000" width="4.7109375" style="71" customWidth="1"/>
    <col min="16001" max="16092" width="2.7109375" style="71" customWidth="1"/>
    <col min="16093" max="16098" width="3.7109375" style="71" customWidth="1"/>
    <col min="16099" max="16384" width="11.42578125" style="71"/>
  </cols>
  <sheetData>
    <row r="1" spans="1:9">
      <c r="D1" s="159"/>
      <c r="E1" s="143"/>
    </row>
    <row r="2" spans="1:9">
      <c r="D2" s="159"/>
    </row>
    <row r="3" spans="1:9">
      <c r="D3" s="88"/>
      <c r="E3" s="142"/>
    </row>
    <row r="5" spans="1:9">
      <c r="A5" s="136"/>
      <c r="B5" s="136"/>
    </row>
    <row r="6" spans="1:9" ht="13.5" thickBot="1"/>
    <row r="7" spans="1:9" ht="13.5" thickTop="1">
      <c r="C7" s="630" t="s">
        <v>2293</v>
      </c>
      <c r="D7" s="631"/>
      <c r="E7" s="631"/>
      <c r="F7" s="631"/>
      <c r="G7" s="631"/>
      <c r="H7" s="631"/>
      <c r="I7" s="632"/>
    </row>
    <row r="8" spans="1:9">
      <c r="C8" s="633" t="s">
        <v>2297</v>
      </c>
      <c r="D8" s="634"/>
      <c r="E8" s="634"/>
      <c r="F8" s="634"/>
      <c r="G8" s="634"/>
      <c r="H8" s="634"/>
      <c r="I8" s="635"/>
    </row>
    <row r="9" spans="1:9">
      <c r="C9" s="633" t="s">
        <v>2294</v>
      </c>
      <c r="D9" s="634"/>
      <c r="E9" s="634"/>
      <c r="F9" s="634"/>
      <c r="G9" s="634"/>
      <c r="H9" s="634"/>
      <c r="I9" s="635"/>
    </row>
    <row r="10" spans="1:9">
      <c r="C10" s="633" t="s">
        <v>2296</v>
      </c>
      <c r="D10" s="634"/>
      <c r="E10" s="634"/>
      <c r="F10" s="634"/>
      <c r="G10" s="634"/>
      <c r="H10" s="634"/>
      <c r="I10" s="635"/>
    </row>
    <row r="11" spans="1:9">
      <c r="C11" s="300"/>
      <c r="D11" s="220"/>
      <c r="E11" s="220"/>
      <c r="F11" s="220"/>
      <c r="G11" s="220"/>
      <c r="H11" s="220"/>
      <c r="I11" s="301"/>
    </row>
    <row r="12" spans="1:9" ht="8.25" customHeight="1">
      <c r="C12" s="423"/>
      <c r="D12" s="296"/>
      <c r="E12" s="296"/>
      <c r="F12" s="296"/>
      <c r="G12" s="220"/>
      <c r="H12" s="220"/>
      <c r="I12" s="301"/>
    </row>
    <row r="13" spans="1:9" ht="12.75" customHeight="1">
      <c r="C13" s="300"/>
      <c r="D13" s="638" t="s">
        <v>2356</v>
      </c>
      <c r="E13" s="638"/>
      <c r="F13" s="638"/>
      <c r="G13" s="638"/>
      <c r="H13" s="638"/>
      <c r="I13" s="301"/>
    </row>
    <row r="14" spans="1:9" ht="12.75" customHeight="1">
      <c r="C14" s="300"/>
      <c r="D14" s="220"/>
      <c r="E14" s="220"/>
      <c r="F14" s="424"/>
      <c r="G14" s="220"/>
      <c r="H14" s="220"/>
      <c r="I14" s="301"/>
    </row>
    <row r="15" spans="1:9" ht="12.75" customHeight="1">
      <c r="C15" s="300"/>
      <c r="D15" s="393" t="s">
        <v>1662</v>
      </c>
      <c r="E15" s="394"/>
      <c r="F15" s="395">
        <v>1</v>
      </c>
      <c r="G15" s="396">
        <f>+F15/1</f>
        <v>1</v>
      </c>
      <c r="H15" s="397" t="s">
        <v>2344</v>
      </c>
      <c r="I15" s="301"/>
    </row>
    <row r="16" spans="1:9" ht="12.75" customHeight="1">
      <c r="C16" s="300"/>
      <c r="D16" s="212" t="s">
        <v>2341</v>
      </c>
      <c r="E16" s="398">
        <f>+GG!D104</f>
        <v>0.27350000000000002</v>
      </c>
      <c r="F16" s="636">
        <f>SUM(E16:E17)</f>
        <v>0.39350000000000002</v>
      </c>
      <c r="G16" s="639">
        <f>+F16/1</f>
        <v>0.39350000000000002</v>
      </c>
      <c r="H16" s="244"/>
      <c r="I16" s="301"/>
    </row>
    <row r="17" spans="3:9" ht="12.75" customHeight="1">
      <c r="C17" s="300"/>
      <c r="D17" s="212" t="s">
        <v>2342</v>
      </c>
      <c r="E17" s="398">
        <v>0.12</v>
      </c>
      <c r="F17" s="636"/>
      <c r="G17" s="639"/>
      <c r="H17" s="225"/>
      <c r="I17" s="301"/>
    </row>
    <row r="18" spans="3:9" ht="12.75" customHeight="1">
      <c r="C18" s="300"/>
      <c r="D18" s="212" t="s">
        <v>2343</v>
      </c>
      <c r="E18" s="398"/>
      <c r="F18" s="636"/>
      <c r="G18" s="639"/>
      <c r="H18" s="242"/>
      <c r="I18" s="301"/>
    </row>
    <row r="19" spans="3:9" ht="12.75" customHeight="1">
      <c r="C19" s="300"/>
      <c r="D19" s="393" t="s">
        <v>2346</v>
      </c>
      <c r="E19" s="394"/>
      <c r="F19" s="395"/>
      <c r="G19" s="396">
        <f>+G15+G16</f>
        <v>1.3935</v>
      </c>
      <c r="H19" s="397" t="s">
        <v>2345</v>
      </c>
      <c r="I19" s="301"/>
    </row>
    <row r="20" spans="3:9" ht="12.75" customHeight="1">
      <c r="C20" s="300"/>
      <c r="D20" s="212" t="s">
        <v>2347</v>
      </c>
      <c r="E20" s="398">
        <v>2.5000000000000001E-2</v>
      </c>
      <c r="F20" s="636">
        <f>SUM(E20:E22)</f>
        <v>6.2799999999999995E-2</v>
      </c>
      <c r="G20" s="639">
        <f>+F20/1</f>
        <v>6.2799999999999995E-2</v>
      </c>
      <c r="H20" s="244"/>
      <c r="I20" s="301"/>
    </row>
    <row r="21" spans="3:9" ht="12.75" customHeight="1">
      <c r="C21" s="300"/>
      <c r="D21" s="212" t="s">
        <v>2510</v>
      </c>
      <c r="E21" s="398">
        <v>2.9999999999999997E-4</v>
      </c>
      <c r="F21" s="636"/>
      <c r="G21" s="639"/>
      <c r="H21" s="225"/>
      <c r="I21" s="301"/>
    </row>
    <row r="22" spans="3:9" ht="12.75" customHeight="1">
      <c r="C22" s="300"/>
      <c r="D22" s="212" t="s">
        <v>2515</v>
      </c>
      <c r="E22" s="398">
        <v>3.7499999999999999E-2</v>
      </c>
      <c r="F22" s="636"/>
      <c r="G22" s="639"/>
      <c r="H22" s="225"/>
      <c r="I22" s="301"/>
    </row>
    <row r="23" spans="3:9" ht="12.75" customHeight="1">
      <c r="C23" s="300"/>
      <c r="D23" s="212" t="s">
        <v>2348</v>
      </c>
      <c r="E23" s="398"/>
      <c r="F23" s="636"/>
      <c r="G23" s="639"/>
      <c r="H23" s="242"/>
      <c r="I23" s="301"/>
    </row>
    <row r="24" spans="3:9" ht="12.75" customHeight="1">
      <c r="C24" s="300"/>
      <c r="D24" s="393" t="s">
        <v>2349</v>
      </c>
      <c r="E24" s="394"/>
      <c r="F24" s="395"/>
      <c r="G24" s="396">
        <f>+G19+G20</f>
        <v>1.4562999999999999</v>
      </c>
      <c r="H24" s="397" t="s">
        <v>2353</v>
      </c>
      <c r="I24" s="301"/>
    </row>
    <row r="25" spans="3:9">
      <c r="C25" s="300"/>
      <c r="D25" s="212" t="s">
        <v>2350</v>
      </c>
      <c r="E25" s="398">
        <v>2.4E-2</v>
      </c>
      <c r="F25" s="636">
        <f>SUM(E25:E26)</f>
        <v>0.23399999999999999</v>
      </c>
      <c r="G25" s="637">
        <f>+F25/1</f>
        <v>0.23399999999999999</v>
      </c>
      <c r="H25" s="244"/>
      <c r="I25" s="301"/>
    </row>
    <row r="26" spans="3:9">
      <c r="C26" s="300"/>
      <c r="D26" s="212" t="s">
        <v>2351</v>
      </c>
      <c r="E26" s="398">
        <v>0.21</v>
      </c>
      <c r="F26" s="636"/>
      <c r="G26" s="637"/>
      <c r="H26" s="225"/>
      <c r="I26" s="301"/>
    </row>
    <row r="27" spans="3:9">
      <c r="C27" s="300"/>
      <c r="D27" s="212" t="s">
        <v>2352</v>
      </c>
      <c r="E27" s="398"/>
      <c r="F27" s="636"/>
      <c r="G27" s="637"/>
      <c r="H27" s="242"/>
      <c r="I27" s="301"/>
    </row>
    <row r="28" spans="3:9">
      <c r="C28" s="300"/>
      <c r="D28" s="393" t="s">
        <v>2354</v>
      </c>
      <c r="E28" s="394"/>
      <c r="F28" s="395"/>
      <c r="G28" s="404">
        <f>+G24+G25</f>
        <v>1.6902999999999999</v>
      </c>
      <c r="H28" s="397"/>
      <c r="I28" s="301"/>
    </row>
    <row r="29" spans="3:9">
      <c r="C29" s="300"/>
      <c r="D29" s="220"/>
      <c r="E29" s="424"/>
      <c r="F29" s="424"/>
      <c r="G29" s="220"/>
      <c r="H29" s="220"/>
      <c r="I29" s="301"/>
    </row>
    <row r="30" spans="3:9">
      <c r="C30" s="300"/>
      <c r="D30" s="393" t="s">
        <v>2355</v>
      </c>
      <c r="E30" s="394"/>
      <c r="F30" s="395"/>
      <c r="G30" s="404">
        <f>+G28</f>
        <v>1.6902999999999999</v>
      </c>
      <c r="H30" s="397"/>
      <c r="I30" s="301"/>
    </row>
    <row r="31" spans="3:9" ht="13.5" thickBot="1">
      <c r="C31" s="425"/>
      <c r="D31" s="426"/>
      <c r="E31" s="426"/>
      <c r="F31" s="427"/>
      <c r="G31" s="426"/>
      <c r="H31" s="426"/>
      <c r="I31" s="428"/>
    </row>
    <row r="32" spans="3:9" ht="13.5" thickTop="1"/>
    <row r="41" spans="4:6">
      <c r="D41" s="88"/>
      <c r="F41" s="88"/>
    </row>
  </sheetData>
  <mergeCells count="11">
    <mergeCell ref="C7:I7"/>
    <mergeCell ref="C8:I8"/>
    <mergeCell ref="C9:I9"/>
    <mergeCell ref="C10:I10"/>
    <mergeCell ref="F25:F27"/>
    <mergeCell ref="G25:G27"/>
    <mergeCell ref="D13:H13"/>
    <mergeCell ref="F16:F18"/>
    <mergeCell ref="G16:G18"/>
    <mergeCell ref="F20:F23"/>
    <mergeCell ref="G20:G23"/>
  </mergeCells>
  <printOptions horizontalCentered="1"/>
  <pageMargins left="0.78740157480314965" right="0.19685039370078741" top="0.19685039370078741" bottom="0.19685039370078741" header="0" footer="3.12"/>
  <pageSetup paperSize="9" scale="95" orientation="portrait" r:id="rId1"/>
  <headerFooter alignWithMargins="0">
    <oddFooter>&amp;L                             &amp;G&amp;R&amp;G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142"/>
  <sheetViews>
    <sheetView topLeftCell="A61" zoomScale="85" zoomScaleNormal="85" workbookViewId="0">
      <selection activeCell="H92" sqref="H92"/>
    </sheetView>
  </sheetViews>
  <sheetFormatPr baseColWidth="10" defaultRowHeight="15"/>
  <cols>
    <col min="1" max="2" width="11.42578125" style="35"/>
    <col min="3" max="3" width="5.85546875" style="35" bestFit="1" customWidth="1"/>
    <col min="4" max="4" width="68.5703125" style="35" customWidth="1"/>
    <col min="5" max="6" width="11.42578125" style="35"/>
    <col min="7" max="7" width="6.140625" style="35" bestFit="1" customWidth="1"/>
    <col min="8" max="8" width="52.85546875" style="35" bestFit="1" customWidth="1"/>
    <col min="9" max="11" width="11.42578125" style="35"/>
    <col min="12" max="12" width="106" style="35" bestFit="1" customWidth="1"/>
    <col min="13" max="15" width="11.42578125" style="35"/>
    <col min="16" max="16" width="70" style="35" bestFit="1" customWidth="1"/>
    <col min="17" max="19" width="11.42578125" style="35"/>
    <col min="20" max="20" width="44" style="35" customWidth="1"/>
    <col min="21" max="23" width="11.42578125" style="35"/>
    <col min="24" max="24" width="63.7109375" style="35" customWidth="1"/>
    <col min="25" max="16384" width="11.42578125" style="35"/>
  </cols>
  <sheetData>
    <row r="3" spans="2:25">
      <c r="P3" s="35" t="s">
        <v>1153</v>
      </c>
      <c r="T3" s="35" t="s">
        <v>1154</v>
      </c>
    </row>
    <row r="4" spans="2:25">
      <c r="B4" s="36"/>
      <c r="C4" s="37"/>
      <c r="D4" s="37"/>
      <c r="E4" s="37"/>
    </row>
    <row r="5" spans="2:25">
      <c r="B5" s="36">
        <v>16</v>
      </c>
      <c r="C5" s="38">
        <v>1</v>
      </c>
      <c r="D5" s="39" t="s">
        <v>503</v>
      </c>
      <c r="E5" s="40"/>
      <c r="G5" s="41" t="s">
        <v>669</v>
      </c>
      <c r="H5" s="42" t="s">
        <v>670</v>
      </c>
      <c r="K5" s="47">
        <v>1</v>
      </c>
      <c r="L5" s="48" t="s">
        <v>730</v>
      </c>
      <c r="M5" s="49" t="s">
        <v>731</v>
      </c>
      <c r="O5" s="42" t="s">
        <v>0</v>
      </c>
      <c r="P5" s="42" t="s">
        <v>828</v>
      </c>
      <c r="Q5" s="51"/>
      <c r="S5" s="54">
        <v>1</v>
      </c>
      <c r="T5" s="42" t="s">
        <v>1063</v>
      </c>
      <c r="U5" s="45" t="s">
        <v>94</v>
      </c>
      <c r="W5" s="57">
        <v>1</v>
      </c>
      <c r="X5" s="58" t="s">
        <v>503</v>
      </c>
      <c r="Y5" s="59"/>
    </row>
    <row r="6" spans="2:25">
      <c r="B6" s="36">
        <v>17</v>
      </c>
      <c r="C6" s="43" t="s">
        <v>504</v>
      </c>
      <c r="D6" s="40" t="s">
        <v>505</v>
      </c>
      <c r="E6" s="44" t="s">
        <v>94</v>
      </c>
      <c r="G6" s="45">
        <v>1.1000000000000001</v>
      </c>
      <c r="H6" s="35" t="s">
        <v>671</v>
      </c>
      <c r="I6" s="45" t="s">
        <v>521</v>
      </c>
      <c r="K6" s="49">
        <v>2</v>
      </c>
      <c r="L6" s="48" t="s">
        <v>732</v>
      </c>
      <c r="M6" s="49" t="s">
        <v>731</v>
      </c>
      <c r="O6" s="42" t="s">
        <v>829</v>
      </c>
      <c r="P6" s="42" t="s">
        <v>830</v>
      </c>
      <c r="Q6" s="45" t="s">
        <v>94</v>
      </c>
      <c r="S6" s="54">
        <v>2</v>
      </c>
      <c r="T6" s="42" t="s">
        <v>1064</v>
      </c>
      <c r="U6" s="45" t="s">
        <v>94</v>
      </c>
      <c r="W6" s="60" t="s">
        <v>504</v>
      </c>
      <c r="X6" s="59" t="s">
        <v>505</v>
      </c>
      <c r="Y6" s="61" t="s">
        <v>94</v>
      </c>
    </row>
    <row r="7" spans="2:25">
      <c r="B7" s="36">
        <v>18</v>
      </c>
      <c r="C7" s="43" t="s">
        <v>506</v>
      </c>
      <c r="D7" s="40" t="s">
        <v>507</v>
      </c>
      <c r="E7" s="44" t="s">
        <v>94</v>
      </c>
      <c r="G7" s="45">
        <v>1.2</v>
      </c>
      <c r="H7" s="35" t="s">
        <v>507</v>
      </c>
      <c r="I7" s="45" t="s">
        <v>521</v>
      </c>
      <c r="K7" s="49">
        <v>3</v>
      </c>
      <c r="L7" s="48" t="s">
        <v>4</v>
      </c>
      <c r="M7" s="49" t="s">
        <v>731</v>
      </c>
      <c r="O7" s="52" t="s">
        <v>831</v>
      </c>
      <c r="P7" s="42" t="s">
        <v>832</v>
      </c>
      <c r="Q7" s="45" t="s">
        <v>94</v>
      </c>
      <c r="S7" s="54">
        <v>3</v>
      </c>
      <c r="T7" s="42" t="s">
        <v>1065</v>
      </c>
      <c r="U7" s="45" t="s">
        <v>521</v>
      </c>
      <c r="W7" s="60" t="s">
        <v>506</v>
      </c>
      <c r="X7" s="59" t="s">
        <v>507</v>
      </c>
      <c r="Y7" s="61" t="s">
        <v>94</v>
      </c>
    </row>
    <row r="8" spans="2:25">
      <c r="B8" s="36">
        <v>19</v>
      </c>
      <c r="C8" s="43" t="s">
        <v>508</v>
      </c>
      <c r="D8" s="40" t="s">
        <v>509</v>
      </c>
      <c r="E8" s="44" t="s">
        <v>94</v>
      </c>
      <c r="G8" s="45">
        <v>1.3</v>
      </c>
      <c r="H8" s="35" t="s">
        <v>509</v>
      </c>
      <c r="I8" s="45" t="s">
        <v>94</v>
      </c>
      <c r="K8" s="49">
        <v>4</v>
      </c>
      <c r="L8" s="48" t="s">
        <v>733</v>
      </c>
      <c r="M8" s="49" t="s">
        <v>521</v>
      </c>
      <c r="O8" s="52" t="s">
        <v>833</v>
      </c>
      <c r="P8" s="42" t="s">
        <v>834</v>
      </c>
      <c r="Q8" s="45" t="s">
        <v>94</v>
      </c>
      <c r="S8" s="54">
        <v>4</v>
      </c>
      <c r="T8" s="42" t="s">
        <v>1066</v>
      </c>
      <c r="U8" s="45" t="s">
        <v>515</v>
      </c>
      <c r="W8" s="60" t="s">
        <v>508</v>
      </c>
      <c r="X8" s="59" t="s">
        <v>509</v>
      </c>
      <c r="Y8" s="61" t="s">
        <v>94</v>
      </c>
    </row>
    <row r="9" spans="2:25">
      <c r="B9" s="36">
        <v>20</v>
      </c>
      <c r="C9" s="38">
        <v>2</v>
      </c>
      <c r="D9" s="39" t="s">
        <v>510</v>
      </c>
      <c r="E9" s="40"/>
      <c r="G9" s="42" t="s">
        <v>672</v>
      </c>
      <c r="H9" s="42" t="s">
        <v>673</v>
      </c>
      <c r="I9" s="45" t="s">
        <v>674</v>
      </c>
      <c r="K9" s="49">
        <v>5</v>
      </c>
      <c r="L9" s="48" t="s">
        <v>734</v>
      </c>
      <c r="M9" s="49" t="s">
        <v>515</v>
      </c>
      <c r="O9" s="42" t="s">
        <v>835</v>
      </c>
      <c r="P9" s="42" t="s">
        <v>836</v>
      </c>
      <c r="Q9" s="45" t="s">
        <v>94</v>
      </c>
      <c r="S9" s="54">
        <v>5</v>
      </c>
      <c r="T9" s="42" t="s">
        <v>1067</v>
      </c>
      <c r="U9" s="45"/>
      <c r="W9" s="57">
        <v>2</v>
      </c>
      <c r="X9" s="58" t="s">
        <v>510</v>
      </c>
      <c r="Y9" s="59"/>
    </row>
    <row r="10" spans="2:25">
      <c r="B10" s="36">
        <v>21</v>
      </c>
      <c r="C10" s="43" t="s">
        <v>511</v>
      </c>
      <c r="D10" s="40" t="s">
        <v>512</v>
      </c>
      <c r="E10" s="44" t="s">
        <v>94</v>
      </c>
      <c r="G10" s="45">
        <v>2.1</v>
      </c>
      <c r="H10" s="35" t="s">
        <v>675</v>
      </c>
      <c r="I10" s="45" t="s">
        <v>515</v>
      </c>
      <c r="K10" s="49">
        <v>6</v>
      </c>
      <c r="L10" s="48" t="s">
        <v>735</v>
      </c>
      <c r="M10" s="49" t="s">
        <v>116</v>
      </c>
      <c r="O10" s="52" t="s">
        <v>837</v>
      </c>
      <c r="P10" s="42" t="s">
        <v>838</v>
      </c>
      <c r="Q10" s="45" t="s">
        <v>94</v>
      </c>
      <c r="S10" s="45"/>
      <c r="T10" s="35" t="s">
        <v>1068</v>
      </c>
      <c r="U10" s="45" t="s">
        <v>515</v>
      </c>
      <c r="W10" s="60" t="s">
        <v>511</v>
      </c>
      <c r="X10" s="59" t="s">
        <v>512</v>
      </c>
      <c r="Y10" s="61" t="s">
        <v>94</v>
      </c>
    </row>
    <row r="11" spans="2:25">
      <c r="B11" s="36">
        <v>22</v>
      </c>
      <c r="C11" s="43" t="s">
        <v>513</v>
      </c>
      <c r="D11" s="40" t="s">
        <v>514</v>
      </c>
      <c r="E11" s="44" t="s">
        <v>515</v>
      </c>
      <c r="G11" s="45">
        <v>2.2000000000000002</v>
      </c>
      <c r="H11" s="35" t="s">
        <v>514</v>
      </c>
      <c r="I11" s="45" t="s">
        <v>515</v>
      </c>
      <c r="K11" s="49" t="s">
        <v>736</v>
      </c>
      <c r="L11" s="50" t="s">
        <v>737</v>
      </c>
      <c r="M11" s="49" t="s">
        <v>515</v>
      </c>
      <c r="O11" s="52" t="s">
        <v>839</v>
      </c>
      <c r="P11" s="42" t="s">
        <v>840</v>
      </c>
      <c r="Q11" s="45" t="s">
        <v>94</v>
      </c>
      <c r="S11" s="45"/>
      <c r="T11" s="35" t="s">
        <v>1069</v>
      </c>
      <c r="U11" s="45" t="s">
        <v>521</v>
      </c>
      <c r="W11" s="60" t="s">
        <v>513</v>
      </c>
      <c r="X11" s="59" t="s">
        <v>514</v>
      </c>
      <c r="Y11" s="61" t="s">
        <v>515</v>
      </c>
    </row>
    <row r="12" spans="2:25">
      <c r="B12" s="36">
        <v>23</v>
      </c>
      <c r="C12" s="38">
        <v>3</v>
      </c>
      <c r="D12" s="39" t="s">
        <v>516</v>
      </c>
      <c r="E12" s="40"/>
      <c r="G12" s="42" t="s">
        <v>676</v>
      </c>
      <c r="H12" s="42" t="s">
        <v>677</v>
      </c>
      <c r="I12" s="45" t="s">
        <v>674</v>
      </c>
      <c r="K12" s="49" t="s">
        <v>738</v>
      </c>
      <c r="L12" s="50" t="s">
        <v>739</v>
      </c>
      <c r="M12" s="49" t="s">
        <v>521</v>
      </c>
      <c r="O12" s="52" t="s">
        <v>1</v>
      </c>
      <c r="P12" s="42" t="s">
        <v>841</v>
      </c>
      <c r="Q12" s="45"/>
      <c r="S12" s="45"/>
      <c r="T12" s="35" t="s">
        <v>1070</v>
      </c>
      <c r="U12" s="45" t="s">
        <v>515</v>
      </c>
      <c r="W12" s="57">
        <v>3</v>
      </c>
      <c r="X12" s="58" t="s">
        <v>516</v>
      </c>
      <c r="Y12" s="59"/>
    </row>
    <row r="13" spans="2:25">
      <c r="B13" s="36">
        <v>24</v>
      </c>
      <c r="C13" s="43" t="s">
        <v>517</v>
      </c>
      <c r="D13" s="46" t="s">
        <v>518</v>
      </c>
      <c r="E13" s="40"/>
      <c r="G13" s="45" t="s">
        <v>517</v>
      </c>
      <c r="H13" s="35" t="s">
        <v>518</v>
      </c>
      <c r="I13" s="45" t="s">
        <v>674</v>
      </c>
      <c r="K13" s="49" t="s">
        <v>740</v>
      </c>
      <c r="L13" s="50" t="s">
        <v>741</v>
      </c>
      <c r="M13" s="49" t="s">
        <v>521</v>
      </c>
      <c r="O13" s="52" t="s">
        <v>842</v>
      </c>
      <c r="P13" s="42" t="s">
        <v>843</v>
      </c>
      <c r="Q13" s="45" t="s">
        <v>515</v>
      </c>
      <c r="S13" s="54">
        <v>6</v>
      </c>
      <c r="T13" s="42" t="s">
        <v>1071</v>
      </c>
      <c r="U13" s="45"/>
      <c r="W13" s="60" t="s">
        <v>517</v>
      </c>
      <c r="X13" s="62" t="s">
        <v>518</v>
      </c>
      <c r="Y13" s="59"/>
    </row>
    <row r="14" spans="2:25">
      <c r="B14" s="36">
        <v>25</v>
      </c>
      <c r="C14" s="43" t="s">
        <v>519</v>
      </c>
      <c r="D14" s="40" t="s">
        <v>520</v>
      </c>
      <c r="E14" s="44" t="s">
        <v>521</v>
      </c>
      <c r="G14" s="45" t="s">
        <v>678</v>
      </c>
      <c r="H14" s="35" t="s">
        <v>520</v>
      </c>
      <c r="I14" s="45" t="s">
        <v>521</v>
      </c>
      <c r="K14" s="49">
        <v>7</v>
      </c>
      <c r="L14" s="48" t="s">
        <v>742</v>
      </c>
      <c r="M14" s="49" t="s">
        <v>116</v>
      </c>
      <c r="O14" s="52" t="s">
        <v>844</v>
      </c>
      <c r="P14" s="42" t="s">
        <v>845</v>
      </c>
      <c r="Q14" s="45" t="s">
        <v>94</v>
      </c>
      <c r="S14" s="45"/>
      <c r="T14" s="35" t="s">
        <v>1072</v>
      </c>
      <c r="U14" s="45" t="s">
        <v>515</v>
      </c>
      <c r="W14" s="60" t="s">
        <v>519</v>
      </c>
      <c r="X14" s="59" t="s">
        <v>520</v>
      </c>
      <c r="Y14" s="61" t="s">
        <v>521</v>
      </c>
    </row>
    <row r="15" spans="2:25">
      <c r="B15" s="36">
        <v>26</v>
      </c>
      <c r="C15" s="43" t="s">
        <v>522</v>
      </c>
      <c r="D15" s="40" t="s">
        <v>523</v>
      </c>
      <c r="E15" s="44" t="s">
        <v>515</v>
      </c>
      <c r="G15" s="45" t="s">
        <v>679</v>
      </c>
      <c r="H15" s="35" t="s">
        <v>680</v>
      </c>
      <c r="I15" s="45" t="s">
        <v>515</v>
      </c>
      <c r="K15" s="49" t="s">
        <v>743</v>
      </c>
      <c r="L15" s="50" t="s">
        <v>744</v>
      </c>
      <c r="M15" s="49" t="s">
        <v>515</v>
      </c>
      <c r="O15" s="52" t="s">
        <v>846</v>
      </c>
      <c r="P15" s="42" t="s">
        <v>847</v>
      </c>
      <c r="Q15" s="45" t="s">
        <v>515</v>
      </c>
      <c r="S15" s="45"/>
      <c r="T15" s="35" t="s">
        <v>1073</v>
      </c>
      <c r="U15" s="45" t="s">
        <v>515</v>
      </c>
      <c r="W15" s="60" t="s">
        <v>522</v>
      </c>
      <c r="X15" s="59" t="s">
        <v>523</v>
      </c>
      <c r="Y15" s="61" t="s">
        <v>515</v>
      </c>
    </row>
    <row r="16" spans="2:25">
      <c r="B16" s="36">
        <v>27</v>
      </c>
      <c r="C16" s="43" t="s">
        <v>524</v>
      </c>
      <c r="D16" s="40" t="s">
        <v>525</v>
      </c>
      <c r="E16" s="44" t="s">
        <v>515</v>
      </c>
      <c r="G16" s="45" t="s">
        <v>681</v>
      </c>
      <c r="H16" s="35" t="s">
        <v>682</v>
      </c>
      <c r="I16" s="45" t="s">
        <v>515</v>
      </c>
      <c r="K16" s="49" t="s">
        <v>745</v>
      </c>
      <c r="L16" s="50" t="s">
        <v>746</v>
      </c>
      <c r="M16" s="49" t="s">
        <v>515</v>
      </c>
      <c r="O16" s="52" t="s">
        <v>3</v>
      </c>
      <c r="P16" s="42" t="s">
        <v>848</v>
      </c>
      <c r="Q16" s="45"/>
      <c r="S16" s="45"/>
      <c r="T16" s="35" t="s">
        <v>1074</v>
      </c>
      <c r="U16" s="45" t="s">
        <v>515</v>
      </c>
      <c r="W16" s="60" t="s">
        <v>524</v>
      </c>
      <c r="X16" s="59" t="s">
        <v>525</v>
      </c>
      <c r="Y16" s="61" t="s">
        <v>515</v>
      </c>
    </row>
    <row r="17" spans="2:25">
      <c r="B17" s="36">
        <v>28</v>
      </c>
      <c r="C17" s="43" t="s">
        <v>526</v>
      </c>
      <c r="D17" s="40" t="s">
        <v>527</v>
      </c>
      <c r="E17" s="44" t="s">
        <v>515</v>
      </c>
      <c r="G17" s="45" t="s">
        <v>683</v>
      </c>
      <c r="H17" s="35" t="s">
        <v>684</v>
      </c>
      <c r="I17" s="45" t="s">
        <v>515</v>
      </c>
      <c r="K17" s="49" t="s">
        <v>528</v>
      </c>
      <c r="L17" s="50" t="s">
        <v>747</v>
      </c>
      <c r="M17" s="49" t="s">
        <v>515</v>
      </c>
      <c r="O17" s="52" t="s">
        <v>849</v>
      </c>
      <c r="P17" s="42" t="s">
        <v>850</v>
      </c>
      <c r="Q17" s="45" t="s">
        <v>521</v>
      </c>
      <c r="S17" s="45"/>
      <c r="T17" s="35" t="s">
        <v>1075</v>
      </c>
      <c r="U17" s="45" t="s">
        <v>515</v>
      </c>
      <c r="W17" s="60" t="s">
        <v>526</v>
      </c>
      <c r="X17" s="59" t="s">
        <v>527</v>
      </c>
      <c r="Y17" s="61" t="s">
        <v>515</v>
      </c>
    </row>
    <row r="18" spans="2:25">
      <c r="B18" s="36">
        <v>29</v>
      </c>
      <c r="C18" s="43" t="s">
        <v>528</v>
      </c>
      <c r="D18" s="40" t="s">
        <v>529</v>
      </c>
      <c r="E18" s="44" t="s">
        <v>515</v>
      </c>
      <c r="G18" s="45" t="s">
        <v>685</v>
      </c>
      <c r="H18" s="35" t="s">
        <v>527</v>
      </c>
      <c r="I18" s="45" t="s">
        <v>515</v>
      </c>
      <c r="K18" s="49" t="s">
        <v>748</v>
      </c>
      <c r="L18" s="50" t="s">
        <v>749</v>
      </c>
      <c r="M18" s="49" t="s">
        <v>515</v>
      </c>
      <c r="O18" s="52" t="s">
        <v>851</v>
      </c>
      <c r="P18" s="42" t="s">
        <v>852</v>
      </c>
      <c r="Q18" s="45" t="s">
        <v>515</v>
      </c>
      <c r="S18" s="45"/>
      <c r="T18" s="35" t="s">
        <v>1076</v>
      </c>
      <c r="U18" s="45" t="s">
        <v>515</v>
      </c>
      <c r="W18" s="60" t="s">
        <v>528</v>
      </c>
      <c r="X18" s="59" t="s">
        <v>529</v>
      </c>
      <c r="Y18" s="61" t="s">
        <v>515</v>
      </c>
    </row>
    <row r="19" spans="2:25">
      <c r="B19" s="36">
        <v>30</v>
      </c>
      <c r="C19" s="43" t="s">
        <v>530</v>
      </c>
      <c r="D19" s="40" t="s">
        <v>531</v>
      </c>
      <c r="E19" s="44" t="s">
        <v>515</v>
      </c>
      <c r="G19" s="45" t="s">
        <v>686</v>
      </c>
      <c r="H19" s="35" t="s">
        <v>529</v>
      </c>
      <c r="I19" s="45" t="s">
        <v>515</v>
      </c>
      <c r="K19" s="49" t="s">
        <v>750</v>
      </c>
      <c r="L19" s="50" t="s">
        <v>751</v>
      </c>
      <c r="M19" s="49" t="s">
        <v>515</v>
      </c>
      <c r="O19" s="52" t="s">
        <v>5</v>
      </c>
      <c r="P19" s="42" t="s">
        <v>853</v>
      </c>
      <c r="Q19" s="45"/>
      <c r="S19" s="45"/>
      <c r="T19" s="35" t="s">
        <v>1077</v>
      </c>
      <c r="U19" s="45" t="s">
        <v>515</v>
      </c>
      <c r="W19" s="60" t="s">
        <v>530</v>
      </c>
      <c r="X19" s="59" t="s">
        <v>531</v>
      </c>
      <c r="Y19" s="61" t="s">
        <v>515</v>
      </c>
    </row>
    <row r="20" spans="2:25">
      <c r="B20" s="36">
        <v>31</v>
      </c>
      <c r="C20" s="43" t="s">
        <v>532</v>
      </c>
      <c r="D20" s="40" t="s">
        <v>533</v>
      </c>
      <c r="E20" s="44" t="s">
        <v>515</v>
      </c>
      <c r="G20" s="45" t="s">
        <v>687</v>
      </c>
      <c r="H20" s="35" t="s">
        <v>531</v>
      </c>
      <c r="I20" s="45" t="s">
        <v>688</v>
      </c>
      <c r="K20" s="49" t="s">
        <v>752</v>
      </c>
      <c r="L20" s="50" t="s">
        <v>753</v>
      </c>
      <c r="M20" s="49" t="s">
        <v>688</v>
      </c>
      <c r="O20" s="52" t="s">
        <v>854</v>
      </c>
      <c r="P20" s="42" t="s">
        <v>855</v>
      </c>
      <c r="Q20" s="45"/>
      <c r="S20" s="45"/>
      <c r="T20" s="35" t="s">
        <v>1078</v>
      </c>
      <c r="U20" s="45" t="s">
        <v>515</v>
      </c>
      <c r="W20" s="60" t="s">
        <v>532</v>
      </c>
      <c r="X20" s="59" t="s">
        <v>533</v>
      </c>
      <c r="Y20" s="61" t="s">
        <v>515</v>
      </c>
    </row>
    <row r="21" spans="2:25">
      <c r="B21" s="36">
        <v>32</v>
      </c>
      <c r="C21" s="43" t="s">
        <v>534</v>
      </c>
      <c r="D21" s="40" t="s">
        <v>535</v>
      </c>
      <c r="E21" s="44" t="s">
        <v>515</v>
      </c>
      <c r="G21" s="45" t="s">
        <v>689</v>
      </c>
      <c r="H21" s="35" t="s">
        <v>690</v>
      </c>
      <c r="I21" s="45" t="s">
        <v>515</v>
      </c>
      <c r="K21" s="49" t="s">
        <v>754</v>
      </c>
      <c r="L21" s="50" t="s">
        <v>755</v>
      </c>
      <c r="M21" s="49" t="s">
        <v>515</v>
      </c>
      <c r="O21" s="52" t="s">
        <v>856</v>
      </c>
      <c r="P21" s="35" t="s">
        <v>857</v>
      </c>
      <c r="Q21" s="45" t="s">
        <v>515</v>
      </c>
      <c r="S21" s="45"/>
      <c r="T21" s="35" t="s">
        <v>1079</v>
      </c>
      <c r="U21" s="45" t="s">
        <v>515</v>
      </c>
      <c r="W21" s="60" t="s">
        <v>534</v>
      </c>
      <c r="X21" s="59" t="s">
        <v>535</v>
      </c>
      <c r="Y21" s="61" t="s">
        <v>515</v>
      </c>
    </row>
    <row r="22" spans="2:25">
      <c r="B22" s="36">
        <v>33</v>
      </c>
      <c r="C22" s="43" t="s">
        <v>536</v>
      </c>
      <c r="D22" s="40" t="s">
        <v>537</v>
      </c>
      <c r="E22" s="44" t="s">
        <v>515</v>
      </c>
      <c r="G22" s="45" t="s">
        <v>691</v>
      </c>
      <c r="H22" s="35" t="s">
        <v>692</v>
      </c>
      <c r="I22" s="45" t="s">
        <v>521</v>
      </c>
      <c r="K22" s="49" t="s">
        <v>756</v>
      </c>
      <c r="L22" s="50" t="s">
        <v>757</v>
      </c>
      <c r="M22" s="49" t="s">
        <v>515</v>
      </c>
      <c r="O22" s="52" t="s">
        <v>858</v>
      </c>
      <c r="P22" s="35" t="s">
        <v>859</v>
      </c>
      <c r="Q22" s="45" t="s">
        <v>515</v>
      </c>
      <c r="S22" s="45"/>
      <c r="T22" s="35" t="s">
        <v>1080</v>
      </c>
      <c r="U22" s="45" t="s">
        <v>515</v>
      </c>
      <c r="W22" s="60" t="s">
        <v>536</v>
      </c>
      <c r="X22" s="59" t="s">
        <v>537</v>
      </c>
      <c r="Y22" s="61" t="s">
        <v>515</v>
      </c>
    </row>
    <row r="23" spans="2:25" ht="15" customHeight="1">
      <c r="B23" s="36">
        <v>34</v>
      </c>
      <c r="C23" s="43" t="s">
        <v>538</v>
      </c>
      <c r="D23" s="40" t="s">
        <v>539</v>
      </c>
      <c r="E23" s="44" t="s">
        <v>521</v>
      </c>
      <c r="G23" s="45" t="s">
        <v>693</v>
      </c>
      <c r="H23" s="35" t="s">
        <v>694</v>
      </c>
      <c r="I23" s="45" t="s">
        <v>515</v>
      </c>
      <c r="K23" s="49" t="s">
        <v>758</v>
      </c>
      <c r="L23" s="50" t="s">
        <v>759</v>
      </c>
      <c r="M23" s="49" t="s">
        <v>521</v>
      </c>
      <c r="O23" s="52" t="s">
        <v>860</v>
      </c>
      <c r="P23" s="35" t="s">
        <v>861</v>
      </c>
      <c r="Q23" s="45" t="s">
        <v>515</v>
      </c>
      <c r="S23" s="45"/>
      <c r="T23" s="35" t="s">
        <v>1081</v>
      </c>
      <c r="U23" s="45" t="s">
        <v>515</v>
      </c>
      <c r="W23" s="60" t="s">
        <v>538</v>
      </c>
      <c r="X23" s="59" t="s">
        <v>539</v>
      </c>
      <c r="Y23" s="61" t="s">
        <v>521</v>
      </c>
    </row>
    <row r="24" spans="2:25">
      <c r="B24" s="36">
        <v>35</v>
      </c>
      <c r="C24" s="38">
        <v>4</v>
      </c>
      <c r="D24" s="39" t="s">
        <v>540</v>
      </c>
      <c r="E24" s="40"/>
      <c r="G24" s="45">
        <v>3.2</v>
      </c>
      <c r="H24" s="35" t="s">
        <v>695</v>
      </c>
      <c r="I24" s="45" t="s">
        <v>674</v>
      </c>
      <c r="K24" s="49">
        <v>8</v>
      </c>
      <c r="L24" s="48" t="s">
        <v>760</v>
      </c>
      <c r="M24" s="49" t="s">
        <v>521</v>
      </c>
      <c r="O24" s="52" t="s">
        <v>862</v>
      </c>
      <c r="P24" s="35" t="s">
        <v>863</v>
      </c>
      <c r="Q24" s="45" t="s">
        <v>515</v>
      </c>
      <c r="S24" s="54">
        <v>7</v>
      </c>
      <c r="T24" s="42" t="s">
        <v>1082</v>
      </c>
      <c r="U24" s="45" t="s">
        <v>521</v>
      </c>
      <c r="W24" s="57">
        <v>4</v>
      </c>
      <c r="X24" s="58" t="s">
        <v>540</v>
      </c>
      <c r="Y24" s="59"/>
    </row>
    <row r="25" spans="2:25">
      <c r="B25" s="36">
        <v>36</v>
      </c>
      <c r="C25" s="43" t="s">
        <v>541</v>
      </c>
      <c r="D25" s="46" t="s">
        <v>542</v>
      </c>
      <c r="E25" s="40"/>
      <c r="G25" s="45" t="s">
        <v>696</v>
      </c>
      <c r="H25" s="35" t="s">
        <v>697</v>
      </c>
      <c r="I25" s="45" t="s">
        <v>521</v>
      </c>
      <c r="K25" s="49">
        <v>9</v>
      </c>
      <c r="L25" s="48" t="s">
        <v>761</v>
      </c>
      <c r="M25" s="49" t="s">
        <v>116</v>
      </c>
      <c r="O25" s="52" t="s">
        <v>864</v>
      </c>
      <c r="P25" s="35" t="s">
        <v>865</v>
      </c>
      <c r="Q25" s="45" t="s">
        <v>515</v>
      </c>
      <c r="S25" s="54">
        <v>8</v>
      </c>
      <c r="T25" s="42" t="s">
        <v>1083</v>
      </c>
      <c r="U25" s="45"/>
      <c r="W25" s="60" t="s">
        <v>541</v>
      </c>
      <c r="X25" s="62" t="s">
        <v>542</v>
      </c>
      <c r="Y25" s="59"/>
    </row>
    <row r="26" spans="2:25">
      <c r="B26" s="36">
        <v>37</v>
      </c>
      <c r="C26" s="43" t="s">
        <v>543</v>
      </c>
      <c r="D26" s="40" t="s">
        <v>544</v>
      </c>
      <c r="E26" s="44" t="s">
        <v>515</v>
      </c>
      <c r="G26" s="45" t="s">
        <v>698</v>
      </c>
      <c r="H26" s="35" t="s">
        <v>699</v>
      </c>
      <c r="I26" s="45" t="s">
        <v>521</v>
      </c>
      <c r="K26" s="49" t="s">
        <v>762</v>
      </c>
      <c r="L26" s="50" t="s">
        <v>763</v>
      </c>
      <c r="M26" s="49" t="s">
        <v>521</v>
      </c>
      <c r="O26" s="52" t="s">
        <v>866</v>
      </c>
      <c r="P26" s="35" t="s">
        <v>867</v>
      </c>
      <c r="Q26" s="45" t="s">
        <v>515</v>
      </c>
      <c r="S26" s="45"/>
      <c r="T26" s="35" t="s">
        <v>1084</v>
      </c>
      <c r="U26" s="45" t="s">
        <v>521</v>
      </c>
      <c r="W26" s="60" t="s">
        <v>543</v>
      </c>
      <c r="X26" s="59" t="s">
        <v>544</v>
      </c>
      <c r="Y26" s="61" t="s">
        <v>515</v>
      </c>
    </row>
    <row r="27" spans="2:25">
      <c r="B27" s="36">
        <v>38</v>
      </c>
      <c r="C27" s="43" t="s">
        <v>545</v>
      </c>
      <c r="D27" s="40" t="s">
        <v>546</v>
      </c>
      <c r="E27" s="44" t="s">
        <v>521</v>
      </c>
      <c r="G27" s="45">
        <v>3.3</v>
      </c>
      <c r="H27" s="35" t="s">
        <v>700</v>
      </c>
      <c r="I27" s="45" t="s">
        <v>674</v>
      </c>
      <c r="K27" s="49" t="s">
        <v>764</v>
      </c>
      <c r="L27" s="50" t="s">
        <v>765</v>
      </c>
      <c r="M27" s="49" t="s">
        <v>521</v>
      </c>
      <c r="O27" s="52" t="s">
        <v>868</v>
      </c>
      <c r="P27" s="35" t="s">
        <v>869</v>
      </c>
      <c r="Q27" s="45" t="s">
        <v>515</v>
      </c>
      <c r="S27" s="45"/>
      <c r="T27" s="35" t="s">
        <v>1085</v>
      </c>
      <c r="U27" s="45" t="s">
        <v>521</v>
      </c>
      <c r="W27" s="60" t="s">
        <v>545</v>
      </c>
      <c r="X27" s="59" t="s">
        <v>1150</v>
      </c>
      <c r="Y27" s="61" t="s">
        <v>521</v>
      </c>
    </row>
    <row r="28" spans="2:25" ht="14.1" customHeight="1">
      <c r="B28" s="36">
        <v>39</v>
      </c>
      <c r="C28" s="43" t="s">
        <v>547</v>
      </c>
      <c r="D28" s="40" t="s">
        <v>548</v>
      </c>
      <c r="E28" s="44" t="s">
        <v>521</v>
      </c>
      <c r="G28" s="45" t="s">
        <v>701</v>
      </c>
      <c r="H28" s="35" t="s">
        <v>700</v>
      </c>
      <c r="I28" s="45" t="s">
        <v>521</v>
      </c>
      <c r="K28" s="49">
        <v>10</v>
      </c>
      <c r="L28" s="48" t="s">
        <v>766</v>
      </c>
      <c r="M28" s="49" t="s">
        <v>521</v>
      </c>
      <c r="O28" s="52" t="s">
        <v>870</v>
      </c>
      <c r="P28" s="35" t="s">
        <v>871</v>
      </c>
      <c r="Q28" s="45" t="s">
        <v>515</v>
      </c>
      <c r="S28" s="54">
        <v>9</v>
      </c>
      <c r="T28" s="42" t="s">
        <v>1086</v>
      </c>
      <c r="U28" s="45" t="s">
        <v>521</v>
      </c>
      <c r="W28" s="60" t="s">
        <v>547</v>
      </c>
      <c r="X28" s="59" t="s">
        <v>1151</v>
      </c>
      <c r="Y28" s="61" t="s">
        <v>521</v>
      </c>
    </row>
    <row r="29" spans="2:25" ht="14.1" customHeight="1">
      <c r="B29" s="36">
        <v>40</v>
      </c>
      <c r="C29" s="43" t="s">
        <v>549</v>
      </c>
      <c r="D29" s="46" t="s">
        <v>550</v>
      </c>
      <c r="E29" s="40"/>
      <c r="G29" s="42" t="s">
        <v>702</v>
      </c>
      <c r="H29" s="42" t="s">
        <v>703</v>
      </c>
      <c r="I29" s="45" t="s">
        <v>674</v>
      </c>
      <c r="K29" s="49">
        <v>11</v>
      </c>
      <c r="L29" s="48" t="s">
        <v>767</v>
      </c>
      <c r="M29" s="49" t="s">
        <v>116</v>
      </c>
      <c r="O29" s="52" t="s">
        <v>872</v>
      </c>
      <c r="P29" s="35" t="s">
        <v>873</v>
      </c>
      <c r="Q29" s="45" t="s">
        <v>515</v>
      </c>
      <c r="S29" s="54">
        <v>10</v>
      </c>
      <c r="T29" s="42" t="s">
        <v>1087</v>
      </c>
      <c r="U29" s="45"/>
      <c r="W29" s="60" t="s">
        <v>549</v>
      </c>
      <c r="X29" s="62" t="s">
        <v>550</v>
      </c>
      <c r="Y29" s="59"/>
    </row>
    <row r="30" spans="2:25" ht="14.1" customHeight="1">
      <c r="B30" s="36">
        <v>41</v>
      </c>
      <c r="C30" s="43" t="s">
        <v>551</v>
      </c>
      <c r="D30" s="40" t="s">
        <v>552</v>
      </c>
      <c r="E30" s="44" t="s">
        <v>521</v>
      </c>
      <c r="G30" s="45">
        <v>4.0999999999999996</v>
      </c>
      <c r="H30" s="35" t="s">
        <v>542</v>
      </c>
      <c r="I30" s="45" t="s">
        <v>674</v>
      </c>
      <c r="K30" s="49" t="s">
        <v>768</v>
      </c>
      <c r="L30" s="50" t="s">
        <v>769</v>
      </c>
      <c r="M30" s="49" t="s">
        <v>521</v>
      </c>
      <c r="O30" s="52" t="s">
        <v>874</v>
      </c>
      <c r="P30" s="35" t="s">
        <v>875</v>
      </c>
      <c r="Q30" s="45" t="s">
        <v>521</v>
      </c>
      <c r="S30" s="45"/>
      <c r="T30" s="35" t="s">
        <v>1088</v>
      </c>
      <c r="U30" s="45" t="s">
        <v>521</v>
      </c>
      <c r="W30" s="60" t="s">
        <v>551</v>
      </c>
      <c r="X30" s="59" t="s">
        <v>552</v>
      </c>
      <c r="Y30" s="61" t="s">
        <v>521</v>
      </c>
    </row>
    <row r="31" spans="2:25" ht="14.1" customHeight="1">
      <c r="B31" s="36">
        <v>42</v>
      </c>
      <c r="C31" s="43" t="s">
        <v>553</v>
      </c>
      <c r="D31" s="40" t="s">
        <v>554</v>
      </c>
      <c r="E31" s="44" t="s">
        <v>521</v>
      </c>
      <c r="G31" s="45" t="s">
        <v>704</v>
      </c>
      <c r="H31" s="35" t="s">
        <v>546</v>
      </c>
      <c r="I31" s="45" t="s">
        <v>521</v>
      </c>
      <c r="K31" s="49" t="s">
        <v>770</v>
      </c>
      <c r="L31" s="50" t="s">
        <v>771</v>
      </c>
      <c r="M31" s="49" t="s">
        <v>521</v>
      </c>
      <c r="O31" s="42" t="s">
        <v>876</v>
      </c>
      <c r="P31" s="42" t="s">
        <v>568</v>
      </c>
      <c r="Q31" s="45"/>
      <c r="S31" s="45"/>
      <c r="T31" s="35" t="s">
        <v>1089</v>
      </c>
      <c r="U31" s="45" t="s">
        <v>521</v>
      </c>
      <c r="W31" s="60" t="s">
        <v>553</v>
      </c>
      <c r="X31" s="59" t="s">
        <v>554</v>
      </c>
      <c r="Y31" s="61" t="s">
        <v>521</v>
      </c>
    </row>
    <row r="32" spans="2:25" ht="14.1" customHeight="1">
      <c r="B32" s="36">
        <v>43</v>
      </c>
      <c r="C32" s="43" t="s">
        <v>555</v>
      </c>
      <c r="D32" s="46" t="s">
        <v>556</v>
      </c>
      <c r="E32" s="40"/>
      <c r="G32" s="42" t="s">
        <v>705</v>
      </c>
      <c r="H32" s="42" t="s">
        <v>706</v>
      </c>
      <c r="I32" s="45" t="s">
        <v>674</v>
      </c>
      <c r="K32" s="49" t="s">
        <v>772</v>
      </c>
      <c r="L32" s="50" t="s">
        <v>773</v>
      </c>
      <c r="M32" s="49" t="s">
        <v>521</v>
      </c>
      <c r="O32" s="42" t="s">
        <v>877</v>
      </c>
      <c r="P32" s="35" t="s">
        <v>878</v>
      </c>
      <c r="Q32" s="45" t="s">
        <v>521</v>
      </c>
      <c r="S32" s="45"/>
      <c r="T32" s="35" t="s">
        <v>1090</v>
      </c>
      <c r="U32" s="45" t="s">
        <v>521</v>
      </c>
      <c r="W32" s="60" t="s">
        <v>555</v>
      </c>
      <c r="X32" s="62" t="s">
        <v>556</v>
      </c>
      <c r="Y32" s="59"/>
    </row>
    <row r="33" spans="2:25" ht="14.1" customHeight="1">
      <c r="B33" s="36">
        <v>44</v>
      </c>
      <c r="C33" s="43" t="s">
        <v>557</v>
      </c>
      <c r="D33" s="40" t="s">
        <v>558</v>
      </c>
      <c r="E33" s="44" t="s">
        <v>521</v>
      </c>
      <c r="G33" s="45" t="s">
        <v>571</v>
      </c>
      <c r="H33" s="35" t="s">
        <v>707</v>
      </c>
      <c r="I33" s="45" t="s">
        <v>521</v>
      </c>
      <c r="K33" s="49" t="s">
        <v>774</v>
      </c>
      <c r="L33" s="50" t="s">
        <v>775</v>
      </c>
      <c r="M33" s="49" t="s">
        <v>521</v>
      </c>
      <c r="O33" s="52" t="s">
        <v>879</v>
      </c>
      <c r="P33" s="42" t="s">
        <v>708</v>
      </c>
      <c r="Q33" s="45"/>
      <c r="S33" s="45"/>
      <c r="T33" s="35" t="s">
        <v>1091</v>
      </c>
      <c r="U33" s="45" t="s">
        <v>521</v>
      </c>
      <c r="W33" s="60" t="s">
        <v>557</v>
      </c>
      <c r="X33" s="59" t="s">
        <v>558</v>
      </c>
      <c r="Y33" s="61" t="s">
        <v>521</v>
      </c>
    </row>
    <row r="34" spans="2:25" ht="14.1" customHeight="1">
      <c r="B34" s="36">
        <v>45</v>
      </c>
      <c r="C34" s="43" t="s">
        <v>559</v>
      </c>
      <c r="D34" s="46" t="s">
        <v>560</v>
      </c>
      <c r="E34" s="40"/>
      <c r="G34" s="45" t="s">
        <v>573</v>
      </c>
      <c r="H34" s="35" t="s">
        <v>708</v>
      </c>
      <c r="I34" s="45" t="s">
        <v>521</v>
      </c>
      <c r="K34" s="49">
        <v>12</v>
      </c>
      <c r="L34" s="48" t="s">
        <v>776</v>
      </c>
      <c r="M34" s="49" t="s">
        <v>116</v>
      </c>
      <c r="O34" s="52" t="s">
        <v>880</v>
      </c>
      <c r="P34" s="35" t="s">
        <v>881</v>
      </c>
      <c r="Q34" s="45" t="s">
        <v>521</v>
      </c>
      <c r="S34" s="54">
        <v>11</v>
      </c>
      <c r="T34" s="42" t="s">
        <v>1092</v>
      </c>
      <c r="U34" s="45" t="s">
        <v>521</v>
      </c>
      <c r="W34" s="60" t="s">
        <v>559</v>
      </c>
      <c r="X34" s="62" t="s">
        <v>560</v>
      </c>
      <c r="Y34" s="59"/>
    </row>
    <row r="35" spans="2:25" ht="14.1" customHeight="1">
      <c r="B35" s="36">
        <v>46</v>
      </c>
      <c r="C35" s="43" t="s">
        <v>561</v>
      </c>
      <c r="D35" s="40" t="s">
        <v>562</v>
      </c>
      <c r="E35" s="44" t="s">
        <v>521</v>
      </c>
      <c r="G35" s="42" t="s">
        <v>709</v>
      </c>
      <c r="H35" s="42" t="s">
        <v>710</v>
      </c>
      <c r="I35" s="45" t="s">
        <v>674</v>
      </c>
      <c r="K35" s="49" t="s">
        <v>777</v>
      </c>
      <c r="L35" s="50" t="s">
        <v>577</v>
      </c>
      <c r="M35" s="49" t="s">
        <v>778</v>
      </c>
      <c r="O35" s="52" t="s">
        <v>6</v>
      </c>
      <c r="P35" s="42" t="s">
        <v>882</v>
      </c>
      <c r="Q35" s="45"/>
      <c r="S35" s="54">
        <v>12</v>
      </c>
      <c r="T35" s="42" t="s">
        <v>1093</v>
      </c>
      <c r="U35" s="45" t="s">
        <v>521</v>
      </c>
      <c r="W35" s="60" t="s">
        <v>561</v>
      </c>
      <c r="X35" s="59" t="s">
        <v>562</v>
      </c>
      <c r="Y35" s="61" t="s">
        <v>521</v>
      </c>
    </row>
    <row r="36" spans="2:25" ht="14.1" customHeight="1">
      <c r="B36" s="36">
        <v>47</v>
      </c>
      <c r="C36" s="43" t="s">
        <v>563</v>
      </c>
      <c r="D36" s="40" t="s">
        <v>564</v>
      </c>
      <c r="E36" s="44" t="s">
        <v>521</v>
      </c>
      <c r="G36" s="45" t="s">
        <v>576</v>
      </c>
      <c r="H36" s="35" t="s">
        <v>711</v>
      </c>
      <c r="I36" s="45" t="s">
        <v>521</v>
      </c>
      <c r="K36" s="49" t="s">
        <v>779</v>
      </c>
      <c r="L36" s="50" t="s">
        <v>780</v>
      </c>
      <c r="M36" s="49" t="s">
        <v>778</v>
      </c>
      <c r="O36" s="52" t="s">
        <v>883</v>
      </c>
      <c r="P36" s="42" t="s">
        <v>884</v>
      </c>
      <c r="Q36" s="45" t="s">
        <v>521</v>
      </c>
      <c r="S36" s="54">
        <v>13</v>
      </c>
      <c r="T36" s="42" t="s">
        <v>1094</v>
      </c>
      <c r="U36" s="45"/>
      <c r="W36" s="60" t="s">
        <v>563</v>
      </c>
      <c r="X36" s="59" t="s">
        <v>564</v>
      </c>
      <c r="Y36" s="61" t="s">
        <v>521</v>
      </c>
    </row>
    <row r="37" spans="2:25" ht="14.1" customHeight="1">
      <c r="B37" s="36">
        <v>48</v>
      </c>
      <c r="C37" s="43" t="s">
        <v>565</v>
      </c>
      <c r="D37" s="40" t="s">
        <v>566</v>
      </c>
      <c r="E37" s="44" t="s">
        <v>521</v>
      </c>
      <c r="G37" s="45" t="s">
        <v>712</v>
      </c>
      <c r="H37" s="35" t="s">
        <v>713</v>
      </c>
      <c r="I37" s="45" t="s">
        <v>521</v>
      </c>
      <c r="K37" s="49">
        <v>13</v>
      </c>
      <c r="L37" s="48" t="s">
        <v>781</v>
      </c>
      <c r="M37" s="49" t="s">
        <v>521</v>
      </c>
      <c r="O37" s="52" t="s">
        <v>885</v>
      </c>
      <c r="P37" s="42" t="s">
        <v>886</v>
      </c>
      <c r="Q37" s="45" t="s">
        <v>521</v>
      </c>
      <c r="S37" s="45"/>
      <c r="T37" s="53" t="s">
        <v>1095</v>
      </c>
      <c r="U37" s="45" t="s">
        <v>521</v>
      </c>
      <c r="W37" s="60" t="s">
        <v>565</v>
      </c>
      <c r="X37" s="59" t="s">
        <v>566</v>
      </c>
      <c r="Y37" s="61" t="s">
        <v>521</v>
      </c>
    </row>
    <row r="38" spans="2:25" ht="14.1" customHeight="1">
      <c r="B38" s="36">
        <v>49</v>
      </c>
      <c r="C38" s="43" t="s">
        <v>567</v>
      </c>
      <c r="D38" s="46" t="s">
        <v>568</v>
      </c>
      <c r="E38" s="40"/>
      <c r="G38" s="42" t="s">
        <v>714</v>
      </c>
      <c r="H38" s="42" t="s">
        <v>715</v>
      </c>
      <c r="I38" s="45" t="s">
        <v>674</v>
      </c>
      <c r="K38" s="49">
        <v>14</v>
      </c>
      <c r="L38" s="48" t="s">
        <v>782</v>
      </c>
      <c r="M38" s="49" t="s">
        <v>521</v>
      </c>
      <c r="O38" s="42" t="s">
        <v>7</v>
      </c>
      <c r="P38" s="42" t="s">
        <v>887</v>
      </c>
      <c r="Q38" s="45"/>
      <c r="S38" s="45"/>
      <c r="T38" s="35" t="s">
        <v>1096</v>
      </c>
      <c r="U38" s="45" t="s">
        <v>521</v>
      </c>
      <c r="W38" s="60" t="s">
        <v>567</v>
      </c>
      <c r="X38" s="62" t="s">
        <v>568</v>
      </c>
      <c r="Y38" s="59"/>
    </row>
    <row r="39" spans="2:25" ht="14.1" customHeight="1">
      <c r="B39" s="36">
        <v>50</v>
      </c>
      <c r="C39" s="43" t="s">
        <v>569</v>
      </c>
      <c r="D39" s="40" t="s">
        <v>570</v>
      </c>
      <c r="E39" s="44" t="s">
        <v>521</v>
      </c>
      <c r="G39" s="45" t="s">
        <v>598</v>
      </c>
      <c r="H39" s="35" t="s">
        <v>716</v>
      </c>
      <c r="I39" s="45" t="s">
        <v>94</v>
      </c>
      <c r="K39" s="49">
        <v>15</v>
      </c>
      <c r="L39" s="48" t="s">
        <v>600</v>
      </c>
      <c r="M39" s="49" t="s">
        <v>521</v>
      </c>
      <c r="O39" s="42" t="s">
        <v>888</v>
      </c>
      <c r="P39" s="42" t="s">
        <v>889</v>
      </c>
      <c r="Q39" s="45"/>
      <c r="S39" s="54">
        <v>14</v>
      </c>
      <c r="T39" s="42" t="s">
        <v>1097</v>
      </c>
      <c r="U39" s="45"/>
      <c r="W39" s="60" t="s">
        <v>569</v>
      </c>
      <c r="X39" s="59" t="s">
        <v>570</v>
      </c>
      <c r="Y39" s="61" t="s">
        <v>521</v>
      </c>
    </row>
    <row r="40" spans="2:25" ht="14.1" customHeight="1">
      <c r="B40" s="36">
        <v>51</v>
      </c>
      <c r="C40" s="38">
        <v>5</v>
      </c>
      <c r="D40" s="39" t="s">
        <v>17</v>
      </c>
      <c r="E40" s="40"/>
      <c r="G40" s="42" t="s">
        <v>717</v>
      </c>
      <c r="H40" s="42" t="s">
        <v>718</v>
      </c>
      <c r="I40" s="45" t="s">
        <v>674</v>
      </c>
      <c r="K40" s="49">
        <v>16</v>
      </c>
      <c r="L40" s="48" t="s">
        <v>783</v>
      </c>
      <c r="M40" s="49" t="s">
        <v>116</v>
      </c>
      <c r="O40" s="42" t="s">
        <v>890</v>
      </c>
      <c r="P40" s="35" t="s">
        <v>891</v>
      </c>
      <c r="Q40" s="45" t="s">
        <v>521</v>
      </c>
      <c r="S40" s="45"/>
      <c r="T40" s="53" t="s">
        <v>1098</v>
      </c>
      <c r="U40" s="45" t="s">
        <v>521</v>
      </c>
      <c r="W40" s="57">
        <v>5</v>
      </c>
      <c r="X40" s="58" t="s">
        <v>17</v>
      </c>
      <c r="Y40" s="59"/>
    </row>
    <row r="41" spans="2:25" ht="14.1" customHeight="1">
      <c r="B41" s="36">
        <v>52</v>
      </c>
      <c r="C41" s="43" t="s">
        <v>571</v>
      </c>
      <c r="D41" s="40" t="s">
        <v>572</v>
      </c>
      <c r="E41" s="44" t="s">
        <v>521</v>
      </c>
      <c r="G41" s="45" t="s">
        <v>601</v>
      </c>
      <c r="H41" s="35" t="s">
        <v>719</v>
      </c>
      <c r="I41" s="45" t="s">
        <v>521</v>
      </c>
      <c r="K41" s="49" t="s">
        <v>784</v>
      </c>
      <c r="L41" s="50" t="s">
        <v>785</v>
      </c>
      <c r="M41" s="49" t="s">
        <v>521</v>
      </c>
      <c r="O41" s="42" t="s">
        <v>892</v>
      </c>
      <c r="P41" s="35" t="s">
        <v>893</v>
      </c>
      <c r="Q41" s="45" t="s">
        <v>521</v>
      </c>
      <c r="S41" s="45"/>
      <c r="T41" s="53" t="s">
        <v>1099</v>
      </c>
      <c r="U41" s="45" t="s">
        <v>521</v>
      </c>
      <c r="W41" s="60" t="s">
        <v>571</v>
      </c>
      <c r="X41" s="59" t="s">
        <v>572</v>
      </c>
      <c r="Y41" s="61" t="s">
        <v>521</v>
      </c>
    </row>
    <row r="42" spans="2:25" ht="14.1" customHeight="1">
      <c r="B42" s="36">
        <v>53</v>
      </c>
      <c r="C42" s="43" t="s">
        <v>573</v>
      </c>
      <c r="D42" s="40" t="s">
        <v>574</v>
      </c>
      <c r="E42" s="44" t="s">
        <v>521</v>
      </c>
      <c r="G42" s="45" t="s">
        <v>720</v>
      </c>
      <c r="H42" s="35" t="s">
        <v>721</v>
      </c>
      <c r="I42" s="45" t="s">
        <v>521</v>
      </c>
      <c r="K42" s="49" t="s">
        <v>786</v>
      </c>
      <c r="L42" s="50" t="s">
        <v>787</v>
      </c>
      <c r="M42" s="49" t="s">
        <v>521</v>
      </c>
      <c r="O42" s="42" t="s">
        <v>894</v>
      </c>
      <c r="P42" s="42" t="s">
        <v>895</v>
      </c>
      <c r="Q42" s="45"/>
      <c r="S42" s="45"/>
      <c r="T42" s="35" t="s">
        <v>1100</v>
      </c>
      <c r="U42" s="45" t="s">
        <v>521</v>
      </c>
      <c r="W42" s="60" t="s">
        <v>573</v>
      </c>
      <c r="X42" s="59" t="s">
        <v>574</v>
      </c>
      <c r="Y42" s="61" t="s">
        <v>521</v>
      </c>
    </row>
    <row r="43" spans="2:25" ht="14.1" customHeight="1">
      <c r="B43" s="36">
        <v>54</v>
      </c>
      <c r="C43" s="38">
        <v>6</v>
      </c>
      <c r="D43" s="39" t="s">
        <v>575</v>
      </c>
      <c r="E43" s="40"/>
      <c r="G43" s="42" t="s">
        <v>722</v>
      </c>
      <c r="H43" s="42" t="s">
        <v>723</v>
      </c>
      <c r="I43" s="45" t="s">
        <v>674</v>
      </c>
      <c r="K43" s="49" t="s">
        <v>788</v>
      </c>
      <c r="L43" s="50" t="s">
        <v>789</v>
      </c>
      <c r="M43" s="49" t="s">
        <v>521</v>
      </c>
      <c r="O43" s="42" t="s">
        <v>896</v>
      </c>
      <c r="P43" s="35" t="s">
        <v>897</v>
      </c>
      <c r="Q43" s="45" t="s">
        <v>521</v>
      </c>
      <c r="S43" s="54">
        <v>15</v>
      </c>
      <c r="T43" s="55" t="s">
        <v>1101</v>
      </c>
      <c r="U43" s="45" t="s">
        <v>94</v>
      </c>
      <c r="W43" s="57">
        <v>6</v>
      </c>
      <c r="X43" s="58" t="s">
        <v>575</v>
      </c>
      <c r="Y43" s="59"/>
    </row>
    <row r="44" spans="2:25" ht="14.1" customHeight="1">
      <c r="B44" s="36">
        <v>55</v>
      </c>
      <c r="C44" s="43" t="s">
        <v>576</v>
      </c>
      <c r="D44" s="46" t="s">
        <v>577</v>
      </c>
      <c r="E44" s="40"/>
      <c r="G44" s="45" t="s">
        <v>606</v>
      </c>
      <c r="H44" s="35" t="s">
        <v>724</v>
      </c>
      <c r="I44" s="45" t="s">
        <v>94</v>
      </c>
      <c r="K44" s="49">
        <v>17</v>
      </c>
      <c r="L44" s="48" t="s">
        <v>15</v>
      </c>
      <c r="M44" s="49" t="s">
        <v>116</v>
      </c>
      <c r="O44" s="42" t="s">
        <v>898</v>
      </c>
      <c r="P44" s="42" t="s">
        <v>899</v>
      </c>
      <c r="Q44" s="45"/>
      <c r="S44" s="54">
        <v>16</v>
      </c>
      <c r="T44" s="42" t="s">
        <v>1102</v>
      </c>
      <c r="U44" s="45" t="s">
        <v>94</v>
      </c>
      <c r="W44" s="60" t="s">
        <v>576</v>
      </c>
      <c r="X44" s="62" t="s">
        <v>577</v>
      </c>
      <c r="Y44" s="59"/>
    </row>
    <row r="45" spans="2:25" ht="14.1" customHeight="1">
      <c r="B45" s="36">
        <v>56</v>
      </c>
      <c r="C45" s="43" t="s">
        <v>578</v>
      </c>
      <c r="D45" s="40" t="s">
        <v>579</v>
      </c>
      <c r="E45" s="44" t="s">
        <v>521</v>
      </c>
      <c r="G45" s="45" t="s">
        <v>725</v>
      </c>
      <c r="H45" s="35" t="s">
        <v>726</v>
      </c>
      <c r="I45" s="45" t="s">
        <v>94</v>
      </c>
      <c r="K45" s="49" t="s">
        <v>790</v>
      </c>
      <c r="L45" s="50" t="s">
        <v>791</v>
      </c>
      <c r="M45" s="49" t="s">
        <v>521</v>
      </c>
      <c r="O45" s="42" t="s">
        <v>900</v>
      </c>
      <c r="P45" s="35" t="s">
        <v>901</v>
      </c>
      <c r="Q45" s="45" t="s">
        <v>521</v>
      </c>
      <c r="S45" s="54">
        <v>17</v>
      </c>
      <c r="T45" s="42" t="s">
        <v>1103</v>
      </c>
      <c r="U45" s="45" t="s">
        <v>2</v>
      </c>
      <c r="W45" s="60" t="s">
        <v>578</v>
      </c>
      <c r="X45" s="59" t="s">
        <v>579</v>
      </c>
      <c r="Y45" s="61" t="s">
        <v>521</v>
      </c>
    </row>
    <row r="46" spans="2:25" ht="14.1" customHeight="1">
      <c r="B46" s="36">
        <v>57</v>
      </c>
      <c r="C46" s="43" t="s">
        <v>580</v>
      </c>
      <c r="D46" s="40" t="s">
        <v>581</v>
      </c>
      <c r="E46" s="44" t="s">
        <v>521</v>
      </c>
      <c r="G46" s="45" t="s">
        <v>727</v>
      </c>
      <c r="H46" s="35" t="s">
        <v>728</v>
      </c>
      <c r="I46" s="45" t="s">
        <v>94</v>
      </c>
      <c r="K46" s="49" t="s">
        <v>792</v>
      </c>
      <c r="L46" s="50" t="s">
        <v>793</v>
      </c>
      <c r="M46" s="49" t="s">
        <v>521</v>
      </c>
      <c r="O46" s="42" t="s">
        <v>8</v>
      </c>
      <c r="P46" s="42" t="s">
        <v>902</v>
      </c>
      <c r="Q46" s="45"/>
      <c r="S46" s="54">
        <v>18</v>
      </c>
      <c r="T46" s="42" t="s">
        <v>1104</v>
      </c>
      <c r="U46" s="45"/>
      <c r="W46" s="60" t="s">
        <v>580</v>
      </c>
      <c r="X46" s="59" t="s">
        <v>581</v>
      </c>
      <c r="Y46" s="61" t="s">
        <v>521</v>
      </c>
    </row>
    <row r="47" spans="2:25" ht="14.1" customHeight="1">
      <c r="B47" s="36">
        <v>58</v>
      </c>
      <c r="C47" s="43" t="s">
        <v>582</v>
      </c>
      <c r="D47" s="40" t="s">
        <v>583</v>
      </c>
      <c r="E47" s="44" t="s">
        <v>2</v>
      </c>
      <c r="G47" s="42">
        <v>10</v>
      </c>
      <c r="H47" s="42" t="s">
        <v>729</v>
      </c>
      <c r="I47" s="45" t="s">
        <v>674</v>
      </c>
      <c r="K47" s="49" t="s">
        <v>794</v>
      </c>
      <c r="L47" s="50" t="s">
        <v>795</v>
      </c>
      <c r="M47" s="49" t="s">
        <v>521</v>
      </c>
      <c r="O47" s="42" t="s">
        <v>903</v>
      </c>
      <c r="P47" s="42" t="s">
        <v>560</v>
      </c>
      <c r="Q47" s="45"/>
      <c r="S47" s="45"/>
      <c r="T47" s="35" t="s">
        <v>1105</v>
      </c>
      <c r="U47" s="45" t="s">
        <v>521</v>
      </c>
      <c r="W47" s="60" t="s">
        <v>582</v>
      </c>
      <c r="X47" s="59" t="s">
        <v>583</v>
      </c>
      <c r="Y47" s="61" t="s">
        <v>2</v>
      </c>
    </row>
    <row r="48" spans="2:25" ht="14.1" customHeight="1">
      <c r="B48" s="36">
        <v>59</v>
      </c>
      <c r="C48" s="43" t="s">
        <v>584</v>
      </c>
      <c r="D48" s="40" t="s">
        <v>585</v>
      </c>
      <c r="E48" s="44" t="s">
        <v>521</v>
      </c>
      <c r="G48" s="45">
        <v>10.1</v>
      </c>
      <c r="H48" s="35" t="s">
        <v>665</v>
      </c>
      <c r="I48" s="45" t="s">
        <v>94</v>
      </c>
      <c r="K48" s="49">
        <v>18</v>
      </c>
      <c r="L48" s="48" t="s">
        <v>796</v>
      </c>
      <c r="M48" s="49" t="s">
        <v>116</v>
      </c>
      <c r="O48" s="42" t="s">
        <v>904</v>
      </c>
      <c r="P48" s="35" t="s">
        <v>905</v>
      </c>
      <c r="Q48" s="45" t="s">
        <v>521</v>
      </c>
      <c r="S48" s="45"/>
      <c r="T48" s="35" t="s">
        <v>1106</v>
      </c>
      <c r="U48" s="45" t="s">
        <v>521</v>
      </c>
      <c r="W48" s="60" t="s">
        <v>584</v>
      </c>
      <c r="X48" s="59" t="s">
        <v>585</v>
      </c>
      <c r="Y48" s="61" t="s">
        <v>521</v>
      </c>
    </row>
    <row r="49" spans="2:25" ht="14.1" customHeight="1">
      <c r="B49" s="36">
        <v>60</v>
      </c>
      <c r="C49" s="43" t="s">
        <v>586</v>
      </c>
      <c r="D49" s="46" t="s">
        <v>587</v>
      </c>
      <c r="E49" s="40"/>
      <c r="K49" s="49" t="s">
        <v>797</v>
      </c>
      <c r="L49" s="50" t="s">
        <v>798</v>
      </c>
      <c r="M49" s="49" t="s">
        <v>778</v>
      </c>
      <c r="O49" s="42" t="s">
        <v>906</v>
      </c>
      <c r="P49" s="35" t="s">
        <v>907</v>
      </c>
      <c r="Q49" s="45" t="s">
        <v>521</v>
      </c>
      <c r="S49" s="45"/>
      <c r="T49" s="35" t="s">
        <v>1107</v>
      </c>
      <c r="U49" s="45" t="s">
        <v>521</v>
      </c>
      <c r="W49" s="60" t="s">
        <v>586</v>
      </c>
      <c r="X49" s="62" t="s">
        <v>587</v>
      </c>
      <c r="Y49" s="59"/>
    </row>
    <row r="50" spans="2:25" ht="14.1" customHeight="1">
      <c r="B50" s="36">
        <v>61</v>
      </c>
      <c r="C50" s="43" t="s">
        <v>588</v>
      </c>
      <c r="D50" s="40" t="s">
        <v>589</v>
      </c>
      <c r="E50" s="44" t="s">
        <v>521</v>
      </c>
      <c r="K50" s="49" t="s">
        <v>799</v>
      </c>
      <c r="L50" s="50" t="s">
        <v>800</v>
      </c>
      <c r="M50" s="49" t="s">
        <v>778</v>
      </c>
      <c r="O50" s="42" t="s">
        <v>908</v>
      </c>
      <c r="P50" s="35" t="s">
        <v>909</v>
      </c>
      <c r="Q50" s="45" t="s">
        <v>521</v>
      </c>
      <c r="S50" s="45"/>
      <c r="T50" s="35" t="s">
        <v>1108</v>
      </c>
      <c r="U50" s="45" t="s">
        <v>521</v>
      </c>
      <c r="W50" s="60" t="s">
        <v>588</v>
      </c>
      <c r="X50" s="59" t="s">
        <v>589</v>
      </c>
      <c r="Y50" s="61" t="s">
        <v>521</v>
      </c>
    </row>
    <row r="51" spans="2:25" ht="14.1" customHeight="1">
      <c r="B51" s="36">
        <v>62</v>
      </c>
      <c r="C51" s="43" t="s">
        <v>590</v>
      </c>
      <c r="D51" s="40" t="s">
        <v>591</v>
      </c>
      <c r="E51" s="44" t="s">
        <v>2</v>
      </c>
      <c r="K51" s="49">
        <v>19</v>
      </c>
      <c r="L51" s="48" t="s">
        <v>801</v>
      </c>
      <c r="M51" s="49" t="s">
        <v>116</v>
      </c>
      <c r="O51" s="42" t="s">
        <v>910</v>
      </c>
      <c r="P51" s="35" t="s">
        <v>911</v>
      </c>
      <c r="Q51" s="45" t="s">
        <v>521</v>
      </c>
      <c r="S51" s="45"/>
      <c r="T51" s="35" t="s">
        <v>1109</v>
      </c>
      <c r="U51" s="45" t="s">
        <v>521</v>
      </c>
      <c r="W51" s="60" t="s">
        <v>590</v>
      </c>
      <c r="X51" s="59" t="s">
        <v>591</v>
      </c>
      <c r="Y51" s="61" t="s">
        <v>2</v>
      </c>
    </row>
    <row r="52" spans="2:25" ht="14.1" customHeight="1">
      <c r="B52" s="36">
        <v>63</v>
      </c>
      <c r="C52" s="38">
        <v>7</v>
      </c>
      <c r="D52" s="39" t="s">
        <v>592</v>
      </c>
      <c r="E52" s="40"/>
      <c r="K52" s="49" t="s">
        <v>802</v>
      </c>
      <c r="L52" s="50" t="s">
        <v>803</v>
      </c>
      <c r="M52" s="49" t="s">
        <v>521</v>
      </c>
      <c r="O52" s="42" t="s">
        <v>912</v>
      </c>
      <c r="P52" s="35" t="s">
        <v>913</v>
      </c>
      <c r="Q52" s="45" t="s">
        <v>521</v>
      </c>
      <c r="S52" s="45"/>
      <c r="T52" s="53" t="s">
        <v>1110</v>
      </c>
      <c r="U52" s="45" t="s">
        <v>521</v>
      </c>
      <c r="W52" s="57">
        <v>7</v>
      </c>
      <c r="X52" s="58" t="s">
        <v>592</v>
      </c>
      <c r="Y52" s="59"/>
    </row>
    <row r="53" spans="2:25" ht="14.1" customHeight="1">
      <c r="B53" s="36">
        <v>64</v>
      </c>
      <c r="C53" s="43" t="s">
        <v>593</v>
      </c>
      <c r="D53" s="40" t="s">
        <v>594</v>
      </c>
      <c r="E53" s="44" t="s">
        <v>521</v>
      </c>
      <c r="K53" s="49" t="s">
        <v>804</v>
      </c>
      <c r="L53" s="50" t="s">
        <v>805</v>
      </c>
      <c r="M53" s="49" t="s">
        <v>521</v>
      </c>
      <c r="O53" s="42" t="s">
        <v>914</v>
      </c>
      <c r="P53" s="42" t="s">
        <v>915</v>
      </c>
      <c r="Q53" s="45"/>
      <c r="S53" s="54">
        <v>19</v>
      </c>
      <c r="T53" s="42" t="s">
        <v>1111</v>
      </c>
      <c r="U53" s="45"/>
      <c r="W53" s="60" t="s">
        <v>593</v>
      </c>
      <c r="X53" s="59" t="s">
        <v>594</v>
      </c>
      <c r="Y53" s="61" t="s">
        <v>521</v>
      </c>
    </row>
    <row r="54" spans="2:25" ht="14.1" customHeight="1">
      <c r="B54" s="36">
        <v>65</v>
      </c>
      <c r="C54" s="43" t="s">
        <v>595</v>
      </c>
      <c r="D54" s="40" t="s">
        <v>596</v>
      </c>
      <c r="E54" s="44" t="s">
        <v>521</v>
      </c>
      <c r="K54" s="49" t="s">
        <v>806</v>
      </c>
      <c r="L54" s="50" t="s">
        <v>807</v>
      </c>
      <c r="M54" s="49" t="s">
        <v>521</v>
      </c>
      <c r="O54" s="42" t="s">
        <v>916</v>
      </c>
      <c r="P54" s="35" t="s">
        <v>917</v>
      </c>
      <c r="Q54" s="45" t="s">
        <v>521</v>
      </c>
      <c r="S54" s="45"/>
      <c r="T54" s="35" t="s">
        <v>1112</v>
      </c>
      <c r="U54" s="45" t="s">
        <v>2</v>
      </c>
      <c r="W54" s="60" t="s">
        <v>595</v>
      </c>
      <c r="X54" s="59" t="s">
        <v>596</v>
      </c>
      <c r="Y54" s="61" t="s">
        <v>521</v>
      </c>
    </row>
    <row r="55" spans="2:25" ht="14.1" customHeight="1">
      <c r="B55" s="36">
        <v>66</v>
      </c>
      <c r="C55" s="38">
        <v>8</v>
      </c>
      <c r="D55" s="39" t="s">
        <v>597</v>
      </c>
      <c r="E55" s="40"/>
      <c r="K55" s="49">
        <v>20</v>
      </c>
      <c r="L55" s="48" t="s">
        <v>22</v>
      </c>
      <c r="M55" s="49" t="s">
        <v>116</v>
      </c>
      <c r="O55" s="42" t="s">
        <v>9</v>
      </c>
      <c r="P55" s="42" t="s">
        <v>575</v>
      </c>
      <c r="Q55" s="45"/>
      <c r="S55" s="45"/>
      <c r="T55" s="35" t="s">
        <v>1113</v>
      </c>
      <c r="U55" s="45" t="s">
        <v>2</v>
      </c>
      <c r="W55" s="57">
        <v>8</v>
      </c>
      <c r="X55" s="58" t="s">
        <v>597</v>
      </c>
      <c r="Y55" s="59"/>
    </row>
    <row r="56" spans="2:25" ht="14.1" customHeight="1">
      <c r="B56" s="36">
        <v>67</v>
      </c>
      <c r="C56" s="43" t="s">
        <v>598</v>
      </c>
      <c r="D56" s="40" t="s">
        <v>599</v>
      </c>
      <c r="E56" s="44" t="s">
        <v>521</v>
      </c>
      <c r="K56" s="49" t="s">
        <v>808</v>
      </c>
      <c r="L56" s="50" t="s">
        <v>809</v>
      </c>
      <c r="M56" s="49" t="s">
        <v>521</v>
      </c>
      <c r="O56" s="42" t="s">
        <v>918</v>
      </c>
      <c r="P56" s="42" t="s">
        <v>919</v>
      </c>
      <c r="Q56" s="45"/>
      <c r="S56" s="45"/>
      <c r="T56" s="35" t="s">
        <v>1114</v>
      </c>
      <c r="U56" s="45" t="s">
        <v>2</v>
      </c>
      <c r="W56" s="60" t="s">
        <v>598</v>
      </c>
      <c r="X56" s="59" t="s">
        <v>599</v>
      </c>
      <c r="Y56" s="61" t="s">
        <v>521</v>
      </c>
    </row>
    <row r="57" spans="2:25" ht="14.1" customHeight="1">
      <c r="B57" s="36">
        <v>68</v>
      </c>
      <c r="C57" s="38">
        <v>9</v>
      </c>
      <c r="D57" s="39" t="s">
        <v>600</v>
      </c>
      <c r="E57" s="40"/>
      <c r="K57" s="49" t="s">
        <v>810</v>
      </c>
      <c r="L57" s="50" t="s">
        <v>811</v>
      </c>
      <c r="M57" s="49" t="s">
        <v>521</v>
      </c>
      <c r="O57" s="42" t="s">
        <v>920</v>
      </c>
      <c r="P57" s="35" t="s">
        <v>921</v>
      </c>
      <c r="Q57" s="45" t="s">
        <v>521</v>
      </c>
      <c r="S57" s="54">
        <v>20</v>
      </c>
      <c r="T57" s="42" t="s">
        <v>1115</v>
      </c>
      <c r="U57" s="45" t="s">
        <v>2</v>
      </c>
      <c r="W57" s="57">
        <v>9</v>
      </c>
      <c r="X57" s="58" t="s">
        <v>600</v>
      </c>
      <c r="Y57" s="59"/>
    </row>
    <row r="58" spans="2:25" ht="14.1" customHeight="1">
      <c r="B58" s="36">
        <v>69</v>
      </c>
      <c r="C58" s="43" t="s">
        <v>601</v>
      </c>
      <c r="D58" s="46" t="s">
        <v>602</v>
      </c>
      <c r="E58" s="40"/>
      <c r="K58" s="49" t="s">
        <v>812</v>
      </c>
      <c r="L58" s="50" t="s">
        <v>813</v>
      </c>
      <c r="M58" s="49" t="s">
        <v>521</v>
      </c>
      <c r="O58" s="42" t="s">
        <v>922</v>
      </c>
      <c r="P58" s="35" t="s">
        <v>923</v>
      </c>
      <c r="Q58" s="45" t="s">
        <v>521</v>
      </c>
      <c r="S58" s="54">
        <v>21</v>
      </c>
      <c r="T58" s="42" t="s">
        <v>1116</v>
      </c>
      <c r="U58" s="45" t="s">
        <v>2</v>
      </c>
      <c r="W58" s="60" t="s">
        <v>601</v>
      </c>
      <c r="X58" s="62" t="s">
        <v>602</v>
      </c>
      <c r="Y58" s="59"/>
    </row>
    <row r="59" spans="2:25" ht="14.1" customHeight="1">
      <c r="B59" s="36">
        <v>70</v>
      </c>
      <c r="C59" s="43" t="s">
        <v>603</v>
      </c>
      <c r="D59" s="40" t="s">
        <v>604</v>
      </c>
      <c r="E59" s="44" t="s">
        <v>521</v>
      </c>
      <c r="K59" s="49">
        <v>21</v>
      </c>
      <c r="L59" s="48" t="s">
        <v>814</v>
      </c>
      <c r="M59" s="49" t="s">
        <v>521</v>
      </c>
      <c r="O59" s="42" t="s">
        <v>924</v>
      </c>
      <c r="P59" s="35" t="s">
        <v>925</v>
      </c>
      <c r="Q59" s="45" t="s">
        <v>521</v>
      </c>
      <c r="S59" s="54">
        <v>22</v>
      </c>
      <c r="T59" s="42" t="s">
        <v>1117</v>
      </c>
      <c r="U59" s="45"/>
      <c r="W59" s="60" t="s">
        <v>603</v>
      </c>
      <c r="X59" s="59" t="s">
        <v>604</v>
      </c>
      <c r="Y59" s="61" t="s">
        <v>521</v>
      </c>
    </row>
    <row r="60" spans="2:25" ht="14.1" customHeight="1">
      <c r="B60" s="36">
        <v>71</v>
      </c>
      <c r="C60" s="38">
        <v>10</v>
      </c>
      <c r="D60" s="39" t="s">
        <v>605</v>
      </c>
      <c r="E60" s="40"/>
      <c r="K60" s="49">
        <v>22</v>
      </c>
      <c r="L60" s="48" t="s">
        <v>17</v>
      </c>
      <c r="M60" s="49" t="s">
        <v>116</v>
      </c>
      <c r="O60" s="42" t="s">
        <v>926</v>
      </c>
      <c r="P60" s="42" t="s">
        <v>927</v>
      </c>
      <c r="Q60" s="45"/>
      <c r="S60" s="45"/>
      <c r="T60" s="35" t="s">
        <v>1118</v>
      </c>
      <c r="U60" s="45" t="s">
        <v>94</v>
      </c>
      <c r="W60" s="57">
        <v>10</v>
      </c>
      <c r="X60" s="58" t="s">
        <v>605</v>
      </c>
      <c r="Y60" s="59"/>
    </row>
    <row r="61" spans="2:25" ht="14.1" customHeight="1">
      <c r="B61" s="36">
        <v>72</v>
      </c>
      <c r="C61" s="43" t="s">
        <v>606</v>
      </c>
      <c r="D61" s="40" t="s">
        <v>607</v>
      </c>
      <c r="E61" s="44" t="s">
        <v>94</v>
      </c>
      <c r="K61" s="49" t="s">
        <v>815</v>
      </c>
      <c r="L61" s="50" t="s">
        <v>816</v>
      </c>
      <c r="M61" s="49" t="s">
        <v>521</v>
      </c>
      <c r="O61" s="42" t="s">
        <v>928</v>
      </c>
      <c r="P61" s="35" t="s">
        <v>929</v>
      </c>
      <c r="Q61" s="45" t="s">
        <v>2</v>
      </c>
      <c r="S61" s="45"/>
      <c r="T61" s="35" t="s">
        <v>1119</v>
      </c>
      <c r="U61" s="45" t="s">
        <v>94</v>
      </c>
      <c r="W61" s="60" t="s">
        <v>606</v>
      </c>
      <c r="X61" s="59" t="s">
        <v>607</v>
      </c>
      <c r="Y61" s="61" t="s">
        <v>94</v>
      </c>
    </row>
    <row r="62" spans="2:25" ht="14.1" customHeight="1">
      <c r="B62" s="36">
        <v>73</v>
      </c>
      <c r="C62" s="38">
        <v>11</v>
      </c>
      <c r="D62" s="39" t="s">
        <v>29</v>
      </c>
      <c r="E62" s="40"/>
      <c r="K62" s="49" t="s">
        <v>817</v>
      </c>
      <c r="L62" s="50" t="s">
        <v>818</v>
      </c>
      <c r="M62" s="49" t="s">
        <v>521</v>
      </c>
      <c r="O62" s="42" t="s">
        <v>930</v>
      </c>
      <c r="P62" s="35" t="s">
        <v>931</v>
      </c>
      <c r="Q62" s="45" t="s">
        <v>2</v>
      </c>
      <c r="S62" s="45"/>
      <c r="T62" s="35" t="s">
        <v>1120</v>
      </c>
      <c r="U62" s="45" t="s">
        <v>94</v>
      </c>
      <c r="W62" s="57">
        <v>11</v>
      </c>
      <c r="X62" s="58" t="s">
        <v>29</v>
      </c>
      <c r="Y62" s="59"/>
    </row>
    <row r="63" spans="2:25" ht="14.1" customHeight="1">
      <c r="B63" s="36">
        <v>74</v>
      </c>
      <c r="C63" s="43" t="s">
        <v>608</v>
      </c>
      <c r="D63" s="40" t="s">
        <v>609</v>
      </c>
      <c r="E63" s="44" t="s">
        <v>94</v>
      </c>
      <c r="K63" s="49">
        <v>23</v>
      </c>
      <c r="L63" s="48" t="s">
        <v>819</v>
      </c>
      <c r="M63" s="49" t="s">
        <v>521</v>
      </c>
      <c r="O63" s="42" t="s">
        <v>932</v>
      </c>
      <c r="P63" s="35" t="s">
        <v>933</v>
      </c>
      <c r="Q63" s="45" t="s">
        <v>2</v>
      </c>
      <c r="S63" s="54">
        <v>23</v>
      </c>
      <c r="T63" s="55" t="s">
        <v>1121</v>
      </c>
      <c r="U63" s="45" t="s">
        <v>94</v>
      </c>
      <c r="W63" s="60" t="s">
        <v>608</v>
      </c>
      <c r="X63" s="59" t="s">
        <v>609</v>
      </c>
      <c r="Y63" s="61" t="s">
        <v>94</v>
      </c>
    </row>
    <row r="64" spans="2:25" ht="14.1" customHeight="1">
      <c r="B64" s="36">
        <v>75</v>
      </c>
      <c r="C64" s="43" t="s">
        <v>610</v>
      </c>
      <c r="D64" s="40" t="s">
        <v>611</v>
      </c>
      <c r="E64" s="44" t="s">
        <v>94</v>
      </c>
      <c r="K64" s="49">
        <v>24</v>
      </c>
      <c r="L64" s="48" t="s">
        <v>820</v>
      </c>
      <c r="M64" s="49" t="s">
        <v>731</v>
      </c>
      <c r="O64" s="42" t="s">
        <v>934</v>
      </c>
      <c r="P64" s="35" t="s">
        <v>935</v>
      </c>
      <c r="Q64" s="45" t="s">
        <v>2</v>
      </c>
      <c r="S64" s="54">
        <v>24</v>
      </c>
      <c r="T64" s="42" t="s">
        <v>1122</v>
      </c>
      <c r="U64" s="45" t="s">
        <v>1123</v>
      </c>
      <c r="W64" s="60" t="s">
        <v>610</v>
      </c>
      <c r="X64" s="59" t="s">
        <v>611</v>
      </c>
      <c r="Y64" s="61" t="s">
        <v>94</v>
      </c>
    </row>
    <row r="65" spans="2:25" ht="14.1" customHeight="1">
      <c r="B65" s="36">
        <v>76</v>
      </c>
      <c r="C65" s="38">
        <v>12</v>
      </c>
      <c r="D65" s="39" t="s">
        <v>612</v>
      </c>
      <c r="E65" s="40"/>
      <c r="K65" s="49">
        <v>25</v>
      </c>
      <c r="L65" s="48" t="s">
        <v>821</v>
      </c>
      <c r="M65" s="49" t="s">
        <v>521</v>
      </c>
      <c r="O65" s="42" t="s">
        <v>10</v>
      </c>
      <c r="P65" s="42" t="s">
        <v>22</v>
      </c>
      <c r="Q65" s="45"/>
      <c r="S65" s="54">
        <v>25</v>
      </c>
      <c r="T65" s="42" t="s">
        <v>1124</v>
      </c>
      <c r="U65" s="45"/>
      <c r="W65" s="57">
        <v>12</v>
      </c>
      <c r="X65" s="58" t="s">
        <v>612</v>
      </c>
      <c r="Y65" s="59"/>
    </row>
    <row r="66" spans="2:25" ht="14.1" customHeight="1">
      <c r="B66" s="36">
        <v>77</v>
      </c>
      <c r="C66" s="43" t="s">
        <v>613</v>
      </c>
      <c r="D66" s="40" t="s">
        <v>614</v>
      </c>
      <c r="E66" s="44" t="s">
        <v>94</v>
      </c>
      <c r="K66" s="49">
        <v>26</v>
      </c>
      <c r="L66" s="48" t="s">
        <v>822</v>
      </c>
      <c r="M66" s="49" t="s">
        <v>731</v>
      </c>
      <c r="O66" s="42" t="s">
        <v>936</v>
      </c>
      <c r="P66" s="42" t="s">
        <v>937</v>
      </c>
      <c r="Q66" s="45"/>
      <c r="S66" s="45"/>
      <c r="T66" s="35" t="s">
        <v>1125</v>
      </c>
      <c r="U66" s="45" t="s">
        <v>521</v>
      </c>
      <c r="W66" s="60" t="s">
        <v>613</v>
      </c>
      <c r="X66" s="59" t="s">
        <v>614</v>
      </c>
      <c r="Y66" s="61" t="s">
        <v>94</v>
      </c>
    </row>
    <row r="67" spans="2:25" ht="14.1" customHeight="1">
      <c r="B67" s="36">
        <v>78</v>
      </c>
      <c r="C67" s="43" t="s">
        <v>615</v>
      </c>
      <c r="D67" s="40" t="s">
        <v>616</v>
      </c>
      <c r="E67" s="44" t="s">
        <v>94</v>
      </c>
      <c r="K67" s="49">
        <v>27</v>
      </c>
      <c r="L67" s="48" t="s">
        <v>823</v>
      </c>
      <c r="M67" s="49" t="s">
        <v>731</v>
      </c>
      <c r="O67" s="42" t="s">
        <v>938</v>
      </c>
      <c r="P67" s="35" t="s">
        <v>939</v>
      </c>
      <c r="Q67" s="45" t="s">
        <v>521</v>
      </c>
      <c r="S67" s="45"/>
      <c r="T67" s="35" t="s">
        <v>1126</v>
      </c>
      <c r="U67" s="45" t="s">
        <v>521</v>
      </c>
      <c r="W67" s="60" t="s">
        <v>615</v>
      </c>
      <c r="X67" s="59" t="s">
        <v>616</v>
      </c>
      <c r="Y67" s="61" t="s">
        <v>94</v>
      </c>
    </row>
    <row r="68" spans="2:25" ht="14.1" customHeight="1">
      <c r="B68" s="36">
        <v>79</v>
      </c>
      <c r="C68" s="43" t="s">
        <v>617</v>
      </c>
      <c r="D68" s="40" t="s">
        <v>618</v>
      </c>
      <c r="E68" s="44" t="s">
        <v>94</v>
      </c>
      <c r="K68" s="49">
        <v>28</v>
      </c>
      <c r="L68" s="48" t="s">
        <v>824</v>
      </c>
      <c r="M68" s="49" t="s">
        <v>731</v>
      </c>
      <c r="O68" s="42" t="s">
        <v>940</v>
      </c>
      <c r="P68" s="35" t="s">
        <v>941</v>
      </c>
      <c r="Q68" s="45" t="s">
        <v>521</v>
      </c>
      <c r="S68" s="54">
        <v>26</v>
      </c>
      <c r="T68" s="42" t="s">
        <v>1127</v>
      </c>
      <c r="U68" s="45" t="s">
        <v>521</v>
      </c>
      <c r="W68" s="60" t="s">
        <v>617</v>
      </c>
      <c r="X68" s="59" t="s">
        <v>618</v>
      </c>
      <c r="Y68" s="61" t="s">
        <v>94</v>
      </c>
    </row>
    <row r="69" spans="2:25" ht="14.1" customHeight="1">
      <c r="B69" s="36">
        <v>80</v>
      </c>
      <c r="C69" s="43" t="s">
        <v>619</v>
      </c>
      <c r="D69" s="40" t="s">
        <v>620</v>
      </c>
      <c r="E69" s="44" t="s">
        <v>94</v>
      </c>
      <c r="K69" s="49">
        <v>29</v>
      </c>
      <c r="L69" s="48" t="s">
        <v>825</v>
      </c>
      <c r="M69" s="49" t="s">
        <v>731</v>
      </c>
      <c r="O69" s="42" t="s">
        <v>942</v>
      </c>
      <c r="P69" s="35" t="s">
        <v>943</v>
      </c>
      <c r="Q69" s="45" t="s">
        <v>521</v>
      </c>
      <c r="S69" s="54">
        <v>27</v>
      </c>
      <c r="T69" s="42" t="s">
        <v>1128</v>
      </c>
      <c r="U69" s="45" t="s">
        <v>94</v>
      </c>
      <c r="W69" s="60" t="s">
        <v>619</v>
      </c>
      <c r="X69" s="59" t="s">
        <v>620</v>
      </c>
      <c r="Y69" s="61" t="s">
        <v>94</v>
      </c>
    </row>
    <row r="70" spans="2:25" ht="14.1" customHeight="1">
      <c r="B70" s="36">
        <v>81</v>
      </c>
      <c r="C70" s="43" t="s">
        <v>621</v>
      </c>
      <c r="D70" s="40" t="s">
        <v>622</v>
      </c>
      <c r="E70" s="44" t="s">
        <v>94</v>
      </c>
      <c r="K70" s="49">
        <v>30</v>
      </c>
      <c r="L70" s="48" t="s">
        <v>29</v>
      </c>
      <c r="M70" s="49" t="s">
        <v>731</v>
      </c>
      <c r="O70" s="42" t="s">
        <v>944</v>
      </c>
      <c r="P70" s="35" t="s">
        <v>945</v>
      </c>
      <c r="Q70" s="45" t="s">
        <v>521</v>
      </c>
      <c r="S70" s="54">
        <v>28</v>
      </c>
      <c r="T70" s="42" t="s">
        <v>1129</v>
      </c>
      <c r="U70" s="45"/>
      <c r="W70" s="60" t="s">
        <v>621</v>
      </c>
      <c r="X70" s="59" t="s">
        <v>622</v>
      </c>
      <c r="Y70" s="61" t="s">
        <v>94</v>
      </c>
    </row>
    <row r="71" spans="2:25" ht="14.1" customHeight="1">
      <c r="B71" s="36">
        <v>82</v>
      </c>
      <c r="C71" s="43" t="s">
        <v>623</v>
      </c>
      <c r="D71" s="40" t="s">
        <v>624</v>
      </c>
      <c r="E71" s="44" t="s">
        <v>94</v>
      </c>
      <c r="K71" s="49">
        <v>31</v>
      </c>
      <c r="L71" s="48" t="s">
        <v>826</v>
      </c>
      <c r="M71" s="49" t="s">
        <v>731</v>
      </c>
      <c r="O71" s="42" t="s">
        <v>946</v>
      </c>
      <c r="P71" s="35" t="s">
        <v>947</v>
      </c>
      <c r="Q71" s="45" t="s">
        <v>521</v>
      </c>
      <c r="S71" s="45"/>
      <c r="T71" s="53" t="s">
        <v>1130</v>
      </c>
      <c r="U71" s="45" t="s">
        <v>521</v>
      </c>
      <c r="W71" s="60" t="s">
        <v>623</v>
      </c>
      <c r="X71" s="59" t="s">
        <v>624</v>
      </c>
      <c r="Y71" s="61" t="s">
        <v>94</v>
      </c>
    </row>
    <row r="72" spans="2:25" ht="14.1" customHeight="1">
      <c r="B72" s="36">
        <v>83</v>
      </c>
      <c r="C72" s="43" t="s">
        <v>625</v>
      </c>
      <c r="D72" s="40" t="s">
        <v>626</v>
      </c>
      <c r="E72" s="44" t="s">
        <v>94</v>
      </c>
      <c r="K72" s="49">
        <v>32</v>
      </c>
      <c r="L72" s="48" t="s">
        <v>827</v>
      </c>
      <c r="M72" s="49" t="s">
        <v>731</v>
      </c>
      <c r="O72" s="42" t="s">
        <v>948</v>
      </c>
      <c r="P72" s="35" t="s">
        <v>949</v>
      </c>
      <c r="Q72" s="45" t="s">
        <v>521</v>
      </c>
      <c r="S72" s="45"/>
      <c r="T72" s="35" t="s">
        <v>1131</v>
      </c>
      <c r="U72" s="45" t="s">
        <v>521</v>
      </c>
      <c r="W72" s="60" t="s">
        <v>625</v>
      </c>
      <c r="X72" s="59" t="s">
        <v>626</v>
      </c>
      <c r="Y72" s="61" t="s">
        <v>94</v>
      </c>
    </row>
    <row r="73" spans="2:25" ht="14.1" customHeight="1">
      <c r="B73" s="36">
        <v>84</v>
      </c>
      <c r="C73" s="38">
        <v>13</v>
      </c>
      <c r="D73" s="39" t="s">
        <v>627</v>
      </c>
      <c r="E73" s="40"/>
      <c r="K73" s="49">
        <v>33</v>
      </c>
      <c r="L73" s="48" t="s">
        <v>30</v>
      </c>
      <c r="M73" s="49" t="s">
        <v>731</v>
      </c>
      <c r="O73" s="42" t="s">
        <v>950</v>
      </c>
      <c r="P73" s="35" t="s">
        <v>951</v>
      </c>
      <c r="Q73" s="45" t="s">
        <v>521</v>
      </c>
      <c r="S73" s="45"/>
      <c r="T73" s="35" t="s">
        <v>1132</v>
      </c>
      <c r="U73" s="45" t="s">
        <v>521</v>
      </c>
      <c r="W73" s="57">
        <v>13</v>
      </c>
      <c r="X73" s="58" t="s">
        <v>627</v>
      </c>
      <c r="Y73" s="59"/>
    </row>
    <row r="74" spans="2:25" ht="14.1" customHeight="1">
      <c r="B74" s="36">
        <v>85</v>
      </c>
      <c r="C74" s="43" t="s">
        <v>628</v>
      </c>
      <c r="D74" s="40" t="s">
        <v>629</v>
      </c>
      <c r="E74" s="44" t="s">
        <v>94</v>
      </c>
      <c r="K74" s="49">
        <v>34</v>
      </c>
      <c r="L74" s="48" t="s">
        <v>663</v>
      </c>
      <c r="M74" s="49" t="s">
        <v>731</v>
      </c>
      <c r="O74" s="42" t="s">
        <v>952</v>
      </c>
      <c r="P74" s="35" t="s">
        <v>953</v>
      </c>
      <c r="Q74" s="45" t="s">
        <v>521</v>
      </c>
      <c r="S74" s="45"/>
      <c r="T74" s="35" t="s">
        <v>1133</v>
      </c>
      <c r="U74" s="45" t="s">
        <v>521</v>
      </c>
      <c r="W74" s="60" t="s">
        <v>628</v>
      </c>
      <c r="X74" s="59" t="s">
        <v>629</v>
      </c>
      <c r="Y74" s="61" t="s">
        <v>94</v>
      </c>
    </row>
    <row r="75" spans="2:25" ht="14.1" customHeight="1">
      <c r="B75" s="36">
        <v>86</v>
      </c>
      <c r="C75" s="43" t="s">
        <v>630</v>
      </c>
      <c r="D75" s="40" t="s">
        <v>631</v>
      </c>
      <c r="E75" s="44" t="s">
        <v>94</v>
      </c>
      <c r="O75" s="42" t="s">
        <v>11</v>
      </c>
      <c r="P75" s="42" t="s">
        <v>954</v>
      </c>
      <c r="Q75" s="45"/>
      <c r="S75" s="54">
        <v>29</v>
      </c>
      <c r="T75" s="42" t="s">
        <v>1134</v>
      </c>
      <c r="U75" s="45"/>
      <c r="W75" s="60" t="s">
        <v>630</v>
      </c>
      <c r="X75" s="59" t="s">
        <v>631</v>
      </c>
      <c r="Y75" s="61" t="s">
        <v>94</v>
      </c>
    </row>
    <row r="76" spans="2:25" ht="14.1" customHeight="1">
      <c r="B76" s="36">
        <v>87</v>
      </c>
      <c r="C76" s="43" t="s">
        <v>632</v>
      </c>
      <c r="D76" s="40" t="s">
        <v>633</v>
      </c>
      <c r="E76" s="44" t="s">
        <v>94</v>
      </c>
      <c r="O76" s="42" t="s">
        <v>955</v>
      </c>
      <c r="P76" s="42" t="s">
        <v>956</v>
      </c>
      <c r="Q76" s="45" t="s">
        <v>94</v>
      </c>
      <c r="S76" s="45"/>
      <c r="T76" s="53" t="s">
        <v>1135</v>
      </c>
      <c r="U76" s="45" t="s">
        <v>94</v>
      </c>
      <c r="W76" s="60" t="s">
        <v>632</v>
      </c>
      <c r="X76" s="59" t="s">
        <v>633</v>
      </c>
      <c r="Y76" s="61" t="s">
        <v>94</v>
      </c>
    </row>
    <row r="77" spans="2:25" ht="14.1" customHeight="1">
      <c r="B77" s="36">
        <v>88</v>
      </c>
      <c r="C77" s="43" t="s">
        <v>634</v>
      </c>
      <c r="D77" s="40" t="s">
        <v>611</v>
      </c>
      <c r="E77" s="44" t="s">
        <v>94</v>
      </c>
      <c r="O77" s="42" t="s">
        <v>957</v>
      </c>
      <c r="P77" s="42" t="s">
        <v>958</v>
      </c>
      <c r="Q77" s="45" t="s">
        <v>94</v>
      </c>
      <c r="S77" s="45"/>
      <c r="T77" s="53" t="s">
        <v>1136</v>
      </c>
      <c r="U77" s="45" t="s">
        <v>94</v>
      </c>
      <c r="W77" s="60" t="s">
        <v>634</v>
      </c>
      <c r="X77" s="59" t="s">
        <v>611</v>
      </c>
      <c r="Y77" s="61" t="s">
        <v>94</v>
      </c>
    </row>
    <row r="78" spans="2:25" ht="14.1" customHeight="1">
      <c r="B78" s="36">
        <v>89</v>
      </c>
      <c r="C78" s="43" t="s">
        <v>635</v>
      </c>
      <c r="D78" s="40" t="s">
        <v>636</v>
      </c>
      <c r="E78" s="44" t="s">
        <v>94</v>
      </c>
      <c r="O78" s="42" t="s">
        <v>959</v>
      </c>
      <c r="P78" s="42" t="s">
        <v>648</v>
      </c>
      <c r="Q78" s="45"/>
      <c r="S78" s="45"/>
      <c r="T78" s="53" t="s">
        <v>1137</v>
      </c>
      <c r="U78" s="45" t="s">
        <v>94</v>
      </c>
      <c r="W78" s="60" t="s">
        <v>635</v>
      </c>
      <c r="X78" s="59" t="s">
        <v>1152</v>
      </c>
      <c r="Y78" s="61" t="s">
        <v>94</v>
      </c>
    </row>
    <row r="79" spans="2:25" ht="14.1" customHeight="1">
      <c r="B79" s="36">
        <v>90</v>
      </c>
      <c r="C79" s="38">
        <v>14</v>
      </c>
      <c r="D79" s="39" t="s">
        <v>637</v>
      </c>
      <c r="E79" s="40"/>
      <c r="O79" s="42" t="s">
        <v>960</v>
      </c>
      <c r="P79" s="35" t="s">
        <v>961</v>
      </c>
      <c r="Q79" s="45" t="s">
        <v>94</v>
      </c>
      <c r="S79" s="45"/>
      <c r="T79" s="35" t="s">
        <v>1138</v>
      </c>
      <c r="U79" s="45" t="s">
        <v>94</v>
      </c>
      <c r="W79" s="57">
        <v>14</v>
      </c>
      <c r="X79" s="58" t="s">
        <v>637</v>
      </c>
      <c r="Y79" s="59"/>
    </row>
    <row r="80" spans="2:25" ht="14.1" customHeight="1">
      <c r="B80" s="36">
        <v>91</v>
      </c>
      <c r="C80" s="43" t="s">
        <v>638</v>
      </c>
      <c r="D80" s="40" t="s">
        <v>611</v>
      </c>
      <c r="E80" s="44" t="s">
        <v>94</v>
      </c>
      <c r="O80" s="42" t="s">
        <v>12</v>
      </c>
      <c r="P80" s="42" t="s">
        <v>962</v>
      </c>
      <c r="Q80" s="45"/>
      <c r="S80" s="45"/>
      <c r="T80" s="53" t="s">
        <v>1139</v>
      </c>
      <c r="U80" s="45" t="s">
        <v>94</v>
      </c>
      <c r="W80" s="60" t="s">
        <v>638</v>
      </c>
      <c r="X80" s="59" t="s">
        <v>611</v>
      </c>
      <c r="Y80" s="61" t="s">
        <v>94</v>
      </c>
    </row>
    <row r="81" spans="2:25" ht="14.1" customHeight="1">
      <c r="B81" s="36">
        <v>92</v>
      </c>
      <c r="C81" s="38">
        <v>15</v>
      </c>
      <c r="D81" s="39" t="s">
        <v>639</v>
      </c>
      <c r="E81" s="40"/>
      <c r="O81" s="42" t="s">
        <v>963</v>
      </c>
      <c r="P81" s="42" t="s">
        <v>964</v>
      </c>
      <c r="Q81" s="45"/>
      <c r="S81" s="45"/>
      <c r="T81" s="35" t="s">
        <v>1140</v>
      </c>
      <c r="U81" s="45" t="s">
        <v>94</v>
      </c>
      <c r="W81" s="57">
        <v>15</v>
      </c>
      <c r="X81" s="58" t="s">
        <v>639</v>
      </c>
      <c r="Y81" s="59"/>
    </row>
    <row r="82" spans="2:25" ht="14.1" customHeight="1">
      <c r="B82" s="36">
        <v>93</v>
      </c>
      <c r="C82" s="43" t="s">
        <v>640</v>
      </c>
      <c r="D82" s="46" t="s">
        <v>641</v>
      </c>
      <c r="E82" s="40"/>
      <c r="O82" s="42" t="s">
        <v>965</v>
      </c>
      <c r="P82" s="35" t="s">
        <v>966</v>
      </c>
      <c r="Q82" s="45" t="s">
        <v>521</v>
      </c>
      <c r="S82" s="54">
        <v>30</v>
      </c>
      <c r="T82" s="42" t="s">
        <v>1141</v>
      </c>
      <c r="U82" s="45"/>
      <c r="W82" s="60" t="s">
        <v>640</v>
      </c>
      <c r="X82" s="62" t="s">
        <v>641</v>
      </c>
      <c r="Y82" s="59"/>
    </row>
    <row r="83" spans="2:25" ht="14.1" customHeight="1">
      <c r="B83" s="36">
        <v>94</v>
      </c>
      <c r="C83" s="43" t="s">
        <v>642</v>
      </c>
      <c r="D83" s="40" t="s">
        <v>643</v>
      </c>
      <c r="E83" s="44" t="s">
        <v>94</v>
      </c>
      <c r="O83" s="42" t="s">
        <v>967</v>
      </c>
      <c r="P83" s="35" t="s">
        <v>968</v>
      </c>
      <c r="Q83" s="45" t="s">
        <v>521</v>
      </c>
      <c r="S83" s="45"/>
      <c r="T83" s="35" t="s">
        <v>1142</v>
      </c>
      <c r="U83" s="45" t="s">
        <v>2</v>
      </c>
      <c r="W83" s="60" t="s">
        <v>642</v>
      </c>
      <c r="X83" s="59" t="s">
        <v>643</v>
      </c>
      <c r="Y83" s="61" t="s">
        <v>94</v>
      </c>
    </row>
    <row r="84" spans="2:25" ht="14.1" customHeight="1">
      <c r="B84" s="36">
        <v>95</v>
      </c>
      <c r="C84" s="38">
        <v>16</v>
      </c>
      <c r="D84" s="39" t="s">
        <v>644</v>
      </c>
      <c r="E84" s="40"/>
      <c r="O84" s="42" t="s">
        <v>969</v>
      </c>
      <c r="P84" s="35" t="s">
        <v>970</v>
      </c>
      <c r="Q84" s="45" t="s">
        <v>94</v>
      </c>
      <c r="S84" s="45"/>
      <c r="T84" s="35" t="s">
        <v>1143</v>
      </c>
      <c r="U84" s="45" t="s">
        <v>521</v>
      </c>
      <c r="W84" s="57">
        <v>16</v>
      </c>
      <c r="X84" s="58" t="s">
        <v>644</v>
      </c>
      <c r="Y84" s="59"/>
    </row>
    <row r="85" spans="2:25" ht="14.1" customHeight="1">
      <c r="B85" s="36">
        <v>96</v>
      </c>
      <c r="C85" s="43" t="s">
        <v>645</v>
      </c>
      <c r="D85" s="40" t="s">
        <v>646</v>
      </c>
      <c r="E85" s="44" t="s">
        <v>521</v>
      </c>
      <c r="O85" s="42" t="s">
        <v>971</v>
      </c>
      <c r="P85" s="35" t="s">
        <v>972</v>
      </c>
      <c r="Q85" s="45" t="s">
        <v>94</v>
      </c>
      <c r="S85" s="54">
        <v>31</v>
      </c>
      <c r="T85" s="42" t="s">
        <v>1144</v>
      </c>
      <c r="U85" s="45" t="s">
        <v>521</v>
      </c>
      <c r="W85" s="60" t="s">
        <v>645</v>
      </c>
      <c r="X85" s="59" t="s">
        <v>646</v>
      </c>
      <c r="Y85" s="61" t="s">
        <v>521</v>
      </c>
    </row>
    <row r="86" spans="2:25" ht="14.1" customHeight="1">
      <c r="B86" s="36">
        <v>97</v>
      </c>
      <c r="C86" s="43" t="s">
        <v>647</v>
      </c>
      <c r="D86" s="40" t="s">
        <v>648</v>
      </c>
      <c r="E86" s="44" t="s">
        <v>521</v>
      </c>
      <c r="O86" s="42" t="s">
        <v>973</v>
      </c>
      <c r="P86" s="42" t="s">
        <v>974</v>
      </c>
      <c r="Q86" s="45"/>
      <c r="S86" s="54">
        <v>32</v>
      </c>
      <c r="T86" s="42" t="s">
        <v>1145</v>
      </c>
      <c r="U86" s="45" t="s">
        <v>94</v>
      </c>
      <c r="W86" s="60" t="s">
        <v>647</v>
      </c>
      <c r="X86" s="59" t="s">
        <v>648</v>
      </c>
      <c r="Y86" s="61" t="s">
        <v>521</v>
      </c>
    </row>
    <row r="87" spans="2:25" ht="14.1" customHeight="1">
      <c r="B87" s="36">
        <v>98</v>
      </c>
      <c r="C87" s="38">
        <v>17</v>
      </c>
      <c r="D87" s="39" t="s">
        <v>22</v>
      </c>
      <c r="E87" s="40"/>
      <c r="O87" s="42" t="s">
        <v>975</v>
      </c>
      <c r="P87" s="35" t="s">
        <v>976</v>
      </c>
      <c r="Q87" s="45" t="s">
        <v>521</v>
      </c>
      <c r="S87" s="54">
        <v>33</v>
      </c>
      <c r="T87" s="42" t="s">
        <v>1146</v>
      </c>
      <c r="U87" s="45" t="s">
        <v>94</v>
      </c>
      <c r="W87" s="57">
        <v>17</v>
      </c>
      <c r="X87" s="58" t="s">
        <v>22</v>
      </c>
      <c r="Y87" s="59"/>
    </row>
    <row r="88" spans="2:25" ht="14.1" customHeight="1">
      <c r="B88" s="36">
        <v>99</v>
      </c>
      <c r="C88" s="43" t="s">
        <v>649</v>
      </c>
      <c r="D88" s="40" t="s">
        <v>650</v>
      </c>
      <c r="E88" s="44" t="s">
        <v>521</v>
      </c>
      <c r="O88" s="42" t="s">
        <v>977</v>
      </c>
      <c r="P88" s="35" t="s">
        <v>978</v>
      </c>
      <c r="Q88" s="45" t="s">
        <v>521</v>
      </c>
      <c r="S88" s="54">
        <v>34</v>
      </c>
      <c r="T88" s="42" t="s">
        <v>1147</v>
      </c>
      <c r="U88" s="45" t="s">
        <v>94</v>
      </c>
      <c r="W88" s="60" t="s">
        <v>649</v>
      </c>
      <c r="X88" s="59" t="s">
        <v>650</v>
      </c>
      <c r="Y88" s="61" t="s">
        <v>521</v>
      </c>
    </row>
    <row r="89" spans="2:25" ht="14.1" customHeight="1">
      <c r="B89" s="36">
        <v>100</v>
      </c>
      <c r="C89" s="43" t="s">
        <v>651</v>
      </c>
      <c r="D89" s="40" t="s">
        <v>652</v>
      </c>
      <c r="E89" s="44" t="s">
        <v>521</v>
      </c>
      <c r="O89" s="42" t="s">
        <v>979</v>
      </c>
      <c r="P89" s="35" t="s">
        <v>980</v>
      </c>
      <c r="Q89" s="45" t="s">
        <v>521</v>
      </c>
      <c r="S89" s="54">
        <v>35</v>
      </c>
      <c r="T89" s="42" t="s">
        <v>1148</v>
      </c>
      <c r="U89" s="45" t="s">
        <v>94</v>
      </c>
      <c r="W89" s="60" t="s">
        <v>651</v>
      </c>
      <c r="X89" s="59" t="s">
        <v>652</v>
      </c>
      <c r="Y89" s="61" t="s">
        <v>521</v>
      </c>
    </row>
    <row r="90" spans="2:25" ht="14.1" customHeight="1">
      <c r="B90" s="36">
        <v>101</v>
      </c>
      <c r="C90" s="43" t="s">
        <v>653</v>
      </c>
      <c r="D90" s="40" t="s">
        <v>654</v>
      </c>
      <c r="E90" s="44" t="s">
        <v>521</v>
      </c>
      <c r="O90" s="42" t="s">
        <v>13</v>
      </c>
      <c r="P90" s="42" t="s">
        <v>30</v>
      </c>
      <c r="Q90" s="45"/>
      <c r="S90" s="54">
        <v>36</v>
      </c>
      <c r="T90" s="42" t="s">
        <v>1149</v>
      </c>
      <c r="U90" s="45" t="s">
        <v>94</v>
      </c>
      <c r="W90" s="60" t="s">
        <v>653</v>
      </c>
      <c r="X90" s="59" t="s">
        <v>654</v>
      </c>
      <c r="Y90" s="61" t="s">
        <v>521</v>
      </c>
    </row>
    <row r="91" spans="2:25" ht="14.1" customHeight="1">
      <c r="B91" s="36">
        <v>102</v>
      </c>
      <c r="C91" s="43" t="s">
        <v>655</v>
      </c>
      <c r="D91" s="40" t="s">
        <v>656</v>
      </c>
      <c r="E91" s="44" t="s">
        <v>521</v>
      </c>
      <c r="O91" s="42" t="s">
        <v>981</v>
      </c>
      <c r="P91" s="35" t="s">
        <v>982</v>
      </c>
      <c r="Q91" s="45" t="s">
        <v>94</v>
      </c>
      <c r="W91" s="60" t="s">
        <v>655</v>
      </c>
      <c r="X91" s="59" t="s">
        <v>656</v>
      </c>
      <c r="Y91" s="61" t="s">
        <v>521</v>
      </c>
    </row>
    <row r="92" spans="2:25" ht="14.1" customHeight="1">
      <c r="B92" s="36">
        <v>103</v>
      </c>
      <c r="C92" s="38">
        <v>18</v>
      </c>
      <c r="D92" s="39" t="s">
        <v>657</v>
      </c>
      <c r="E92" s="40"/>
      <c r="O92" s="42" t="s">
        <v>983</v>
      </c>
      <c r="P92" s="35" t="s">
        <v>616</v>
      </c>
      <c r="Q92" s="45" t="s">
        <v>94</v>
      </c>
      <c r="W92" s="57">
        <v>18</v>
      </c>
      <c r="X92" s="58" t="s">
        <v>657</v>
      </c>
      <c r="Y92" s="59"/>
    </row>
    <row r="93" spans="2:25" ht="14.1" customHeight="1">
      <c r="B93" s="36">
        <v>104</v>
      </c>
      <c r="C93" s="43" t="s">
        <v>658</v>
      </c>
      <c r="D93" s="40" t="s">
        <v>659</v>
      </c>
      <c r="E93" s="44" t="s">
        <v>94</v>
      </c>
      <c r="O93" s="42" t="s">
        <v>984</v>
      </c>
      <c r="P93" s="35" t="s">
        <v>985</v>
      </c>
      <c r="Q93" s="45" t="s">
        <v>94</v>
      </c>
      <c r="W93" s="60" t="s">
        <v>658</v>
      </c>
      <c r="X93" s="59" t="s">
        <v>659</v>
      </c>
      <c r="Y93" s="61" t="s">
        <v>94</v>
      </c>
    </row>
    <row r="94" spans="2:25" ht="14.1" customHeight="1">
      <c r="B94" s="36">
        <v>105</v>
      </c>
      <c r="C94" s="38">
        <v>19</v>
      </c>
      <c r="D94" s="39" t="s">
        <v>660</v>
      </c>
      <c r="E94" s="40"/>
      <c r="O94" s="42" t="s">
        <v>986</v>
      </c>
      <c r="P94" s="35" t="s">
        <v>620</v>
      </c>
      <c r="Q94" s="45" t="s">
        <v>94</v>
      </c>
      <c r="W94" s="57">
        <v>19</v>
      </c>
      <c r="X94" s="58" t="s">
        <v>660</v>
      </c>
      <c r="Y94" s="59"/>
    </row>
    <row r="95" spans="2:25" ht="14.1" customHeight="1">
      <c r="B95" s="36">
        <v>106</v>
      </c>
      <c r="C95" s="43" t="s">
        <v>661</v>
      </c>
      <c r="D95" s="40" t="s">
        <v>662</v>
      </c>
      <c r="E95" s="44" t="s">
        <v>2</v>
      </c>
      <c r="O95" s="42" t="s">
        <v>987</v>
      </c>
      <c r="P95" s="35" t="s">
        <v>988</v>
      </c>
      <c r="Q95" s="45" t="s">
        <v>94</v>
      </c>
      <c r="W95" s="60" t="s">
        <v>661</v>
      </c>
      <c r="X95" s="59" t="s">
        <v>662</v>
      </c>
      <c r="Y95" s="61" t="s">
        <v>2</v>
      </c>
    </row>
    <row r="96" spans="2:25" ht="14.1" customHeight="1">
      <c r="B96" s="36">
        <v>107</v>
      </c>
      <c r="C96" s="38">
        <v>20</v>
      </c>
      <c r="D96" s="39" t="s">
        <v>663</v>
      </c>
      <c r="E96" s="40"/>
      <c r="O96" s="42" t="s">
        <v>989</v>
      </c>
      <c r="P96" s="35" t="s">
        <v>624</v>
      </c>
      <c r="Q96" s="45" t="s">
        <v>94</v>
      </c>
      <c r="W96" s="57">
        <v>20</v>
      </c>
      <c r="X96" s="58" t="s">
        <v>663</v>
      </c>
      <c r="Y96" s="59"/>
    </row>
    <row r="97" spans="2:25" ht="14.1" customHeight="1">
      <c r="B97" s="36">
        <v>108</v>
      </c>
      <c r="C97" s="43" t="s">
        <v>664</v>
      </c>
      <c r="D97" s="40" t="s">
        <v>665</v>
      </c>
      <c r="E97" s="44" t="s">
        <v>94</v>
      </c>
      <c r="O97" s="42" t="s">
        <v>990</v>
      </c>
      <c r="P97" s="35" t="s">
        <v>626</v>
      </c>
      <c r="Q97" s="45" t="s">
        <v>94</v>
      </c>
      <c r="W97" s="60" t="s">
        <v>664</v>
      </c>
      <c r="X97" s="59" t="s">
        <v>665</v>
      </c>
      <c r="Y97" s="61" t="s">
        <v>94</v>
      </c>
    </row>
    <row r="98" spans="2:25" ht="14.1" customHeight="1">
      <c r="B98" s="36">
        <v>109</v>
      </c>
      <c r="C98" s="38">
        <v>21</v>
      </c>
      <c r="D98" s="39" t="s">
        <v>666</v>
      </c>
      <c r="E98" s="40"/>
      <c r="O98" s="42" t="s">
        <v>991</v>
      </c>
      <c r="P98" s="35" t="s">
        <v>992</v>
      </c>
      <c r="Q98" s="45" t="s">
        <v>94</v>
      </c>
      <c r="W98" s="57">
        <v>21</v>
      </c>
      <c r="X98" s="58" t="s">
        <v>666</v>
      </c>
      <c r="Y98" s="59"/>
    </row>
    <row r="99" spans="2:25" ht="14.1" customHeight="1">
      <c r="B99" s="36">
        <v>110</v>
      </c>
      <c r="C99" s="43" t="s">
        <v>667</v>
      </c>
      <c r="D99" s="40" t="s">
        <v>668</v>
      </c>
      <c r="E99" s="44" t="s">
        <v>94</v>
      </c>
      <c r="O99" s="42" t="s">
        <v>14</v>
      </c>
      <c r="P99" s="42" t="s">
        <v>627</v>
      </c>
      <c r="Q99" s="45"/>
      <c r="W99" s="60" t="s">
        <v>667</v>
      </c>
      <c r="X99" s="59" t="s">
        <v>668</v>
      </c>
      <c r="Y99" s="61" t="s">
        <v>94</v>
      </c>
    </row>
    <row r="100" spans="2:25" ht="14.1" customHeight="1">
      <c r="O100" s="42" t="s">
        <v>993</v>
      </c>
      <c r="P100" s="42" t="s">
        <v>629</v>
      </c>
      <c r="Q100" s="45" t="s">
        <v>94</v>
      </c>
    </row>
    <row r="101" spans="2:25" ht="14.1" customHeight="1">
      <c r="O101" s="42" t="s">
        <v>994</v>
      </c>
      <c r="P101" s="42" t="s">
        <v>631</v>
      </c>
      <c r="Q101" s="45" t="s">
        <v>94</v>
      </c>
    </row>
    <row r="102" spans="2:25" ht="14.1" customHeight="1">
      <c r="O102" s="42" t="s">
        <v>995</v>
      </c>
      <c r="P102" s="42" t="s">
        <v>633</v>
      </c>
      <c r="Q102" s="45" t="s">
        <v>94</v>
      </c>
    </row>
    <row r="103" spans="2:25" ht="14.1" customHeight="1">
      <c r="O103" s="42" t="s">
        <v>996</v>
      </c>
      <c r="P103" s="42" t="s">
        <v>611</v>
      </c>
      <c r="Q103" s="45" t="s">
        <v>94</v>
      </c>
    </row>
    <row r="104" spans="2:25" ht="14.1" customHeight="1">
      <c r="O104" s="42" t="s">
        <v>997</v>
      </c>
      <c r="P104" s="42" t="s">
        <v>998</v>
      </c>
      <c r="Q104" s="45" t="s">
        <v>94</v>
      </c>
    </row>
    <row r="105" spans="2:25" ht="14.1" customHeight="1">
      <c r="O105" s="42" t="s">
        <v>16</v>
      </c>
      <c r="P105" s="42" t="s">
        <v>999</v>
      </c>
      <c r="Q105" s="45"/>
    </row>
    <row r="106" spans="2:25" ht="14.1" customHeight="1">
      <c r="O106" s="42" t="s">
        <v>1000</v>
      </c>
      <c r="P106" s="42" t="s">
        <v>641</v>
      </c>
      <c r="Q106" s="45"/>
    </row>
    <row r="107" spans="2:25" ht="14.1" customHeight="1">
      <c r="O107" s="42" t="s">
        <v>1001</v>
      </c>
      <c r="P107" s="35" t="s">
        <v>1002</v>
      </c>
      <c r="Q107" s="45" t="s">
        <v>94</v>
      </c>
    </row>
    <row r="108" spans="2:25" ht="14.1" customHeight="1">
      <c r="O108" s="42" t="s">
        <v>1003</v>
      </c>
      <c r="P108" s="35" t="s">
        <v>1004</v>
      </c>
      <c r="Q108" s="45" t="s">
        <v>94</v>
      </c>
    </row>
    <row r="109" spans="2:25" ht="14.1" customHeight="1">
      <c r="O109" s="42" t="s">
        <v>1005</v>
      </c>
      <c r="P109" s="35" t="s">
        <v>643</v>
      </c>
      <c r="Q109" s="45" t="s">
        <v>94</v>
      </c>
    </row>
    <row r="110" spans="2:25" ht="14.1" customHeight="1">
      <c r="O110" s="42" t="s">
        <v>1006</v>
      </c>
      <c r="P110" s="35" t="s">
        <v>1007</v>
      </c>
      <c r="Q110" s="45" t="s">
        <v>94</v>
      </c>
    </row>
    <row r="111" spans="2:25" ht="14.1" customHeight="1">
      <c r="O111" s="42" t="s">
        <v>1008</v>
      </c>
      <c r="P111" s="42" t="s">
        <v>1009</v>
      </c>
      <c r="Q111" s="45" t="s">
        <v>94</v>
      </c>
    </row>
    <row r="112" spans="2:25" ht="14.1" customHeight="1">
      <c r="O112" s="42" t="s">
        <v>18</v>
      </c>
      <c r="P112" s="42" t="s">
        <v>1010</v>
      </c>
      <c r="Q112" s="45"/>
    </row>
    <row r="113" spans="15:17" ht="14.1" customHeight="1">
      <c r="O113" s="42" t="s">
        <v>1011</v>
      </c>
      <c r="P113" s="42" t="s">
        <v>1012</v>
      </c>
      <c r="Q113" s="45" t="s">
        <v>82</v>
      </c>
    </row>
    <row r="114" spans="15:17" ht="14.1" customHeight="1">
      <c r="O114" s="42" t="s">
        <v>1013</v>
      </c>
      <c r="P114" s="42" t="s">
        <v>1014</v>
      </c>
      <c r="Q114" s="45" t="s">
        <v>82</v>
      </c>
    </row>
    <row r="115" spans="15:17" ht="14.1" customHeight="1">
      <c r="O115" s="42" t="s">
        <v>1015</v>
      </c>
      <c r="P115" s="42" t="s">
        <v>1016</v>
      </c>
      <c r="Q115" s="45" t="s">
        <v>94</v>
      </c>
    </row>
    <row r="116" spans="15:17" ht="14.1" customHeight="1">
      <c r="O116" s="42" t="s">
        <v>19</v>
      </c>
      <c r="P116" s="42" t="s">
        <v>1017</v>
      </c>
      <c r="Q116" s="45"/>
    </row>
    <row r="117" spans="15:17" ht="14.1" customHeight="1">
      <c r="O117" s="42" t="s">
        <v>1018</v>
      </c>
      <c r="P117" s="42" t="s">
        <v>1019</v>
      </c>
      <c r="Q117" s="45" t="s">
        <v>94</v>
      </c>
    </row>
    <row r="118" spans="15:17" ht="14.1" customHeight="1">
      <c r="O118" s="42" t="s">
        <v>1020</v>
      </c>
      <c r="P118" s="42" t="s">
        <v>609</v>
      </c>
      <c r="Q118" s="45" t="s">
        <v>94</v>
      </c>
    </row>
    <row r="119" spans="15:17" ht="14.1" customHeight="1">
      <c r="O119" s="42" t="s">
        <v>1021</v>
      </c>
      <c r="P119" s="42" t="s">
        <v>1022</v>
      </c>
      <c r="Q119" s="45" t="s">
        <v>94</v>
      </c>
    </row>
    <row r="120" spans="15:17" ht="14.1" customHeight="1">
      <c r="O120" s="42" t="s">
        <v>1023</v>
      </c>
      <c r="P120" s="42" t="s">
        <v>1024</v>
      </c>
      <c r="Q120" s="45" t="s">
        <v>94</v>
      </c>
    </row>
    <row r="121" spans="15:17" ht="14.1" customHeight="1">
      <c r="O121" s="42" t="s">
        <v>20</v>
      </c>
      <c r="P121" s="42" t="s">
        <v>666</v>
      </c>
      <c r="Q121" s="45"/>
    </row>
    <row r="122" spans="15:17" ht="14.1" customHeight="1">
      <c r="O122" s="42" t="s">
        <v>1025</v>
      </c>
      <c r="P122" s="42" t="s">
        <v>1026</v>
      </c>
      <c r="Q122" s="45"/>
    </row>
    <row r="123" spans="15:17" ht="14.1" customHeight="1">
      <c r="O123" s="42" t="s">
        <v>1027</v>
      </c>
      <c r="P123" s="35" t="s">
        <v>1028</v>
      </c>
      <c r="Q123" s="45" t="s">
        <v>521</v>
      </c>
    </row>
    <row r="124" spans="15:17" ht="14.1" customHeight="1">
      <c r="O124" s="42" t="s">
        <v>1029</v>
      </c>
      <c r="P124" s="35" t="s">
        <v>1030</v>
      </c>
      <c r="Q124" s="45" t="s">
        <v>94</v>
      </c>
    </row>
    <row r="125" spans="15:17" ht="14.1" customHeight="1">
      <c r="O125" s="42" t="s">
        <v>1031</v>
      </c>
      <c r="P125" s="42" t="s">
        <v>1032</v>
      </c>
      <c r="Q125" s="45"/>
    </row>
    <row r="126" spans="15:17" ht="14.1" customHeight="1">
      <c r="O126" s="42" t="s">
        <v>1033</v>
      </c>
      <c r="P126" s="35" t="s">
        <v>1034</v>
      </c>
      <c r="Q126" s="45" t="s">
        <v>94</v>
      </c>
    </row>
    <row r="127" spans="15:17" ht="14.1" customHeight="1">
      <c r="O127" s="42" t="s">
        <v>21</v>
      </c>
      <c r="P127" s="42" t="s">
        <v>28</v>
      </c>
      <c r="Q127" s="45"/>
    </row>
    <row r="128" spans="15:17" ht="14.1" customHeight="1">
      <c r="O128" s="42" t="s">
        <v>1035</v>
      </c>
      <c r="P128" s="42" t="s">
        <v>1036</v>
      </c>
      <c r="Q128" s="45"/>
    </row>
    <row r="129" spans="15:17" ht="14.1" customHeight="1">
      <c r="O129" s="42" t="s">
        <v>1037</v>
      </c>
      <c r="P129" s="35" t="s">
        <v>1038</v>
      </c>
      <c r="Q129" s="45" t="s">
        <v>82</v>
      </c>
    </row>
    <row r="130" spans="15:17" ht="14.1" customHeight="1">
      <c r="O130" s="42" t="s">
        <v>1039</v>
      </c>
      <c r="P130" s="35" t="s">
        <v>1040</v>
      </c>
      <c r="Q130" s="45" t="s">
        <v>82</v>
      </c>
    </row>
    <row r="131" spans="15:17" ht="14.1" customHeight="1">
      <c r="O131" s="42" t="s">
        <v>1041</v>
      </c>
      <c r="P131" s="35" t="s">
        <v>1042</v>
      </c>
      <c r="Q131" s="45" t="s">
        <v>82</v>
      </c>
    </row>
    <row r="132" spans="15:17" ht="14.1" customHeight="1">
      <c r="O132" s="42" t="s">
        <v>1043</v>
      </c>
      <c r="P132" s="35" t="s">
        <v>1044</v>
      </c>
      <c r="Q132" s="45" t="s">
        <v>82</v>
      </c>
    </row>
    <row r="133" spans="15:17" ht="14.1" customHeight="1">
      <c r="O133" s="42" t="s">
        <v>1045</v>
      </c>
      <c r="P133" s="35" t="s">
        <v>1046</v>
      </c>
      <c r="Q133" s="45" t="s">
        <v>82</v>
      </c>
    </row>
    <row r="134" spans="15:17" ht="14.1" customHeight="1">
      <c r="O134" s="42" t="s">
        <v>1047</v>
      </c>
      <c r="P134" s="35" t="s">
        <v>1048</v>
      </c>
      <c r="Q134" s="45" t="s">
        <v>82</v>
      </c>
    </row>
    <row r="135" spans="15:17" ht="14.1" customHeight="1">
      <c r="O135" s="42" t="s">
        <v>1049</v>
      </c>
      <c r="P135" s="42" t="s">
        <v>1050</v>
      </c>
      <c r="Q135" s="45"/>
    </row>
    <row r="136" spans="15:17" ht="14.1" customHeight="1">
      <c r="O136" s="42" t="s">
        <v>1051</v>
      </c>
      <c r="P136" s="35" t="s">
        <v>1052</v>
      </c>
      <c r="Q136" s="45" t="s">
        <v>82</v>
      </c>
    </row>
    <row r="137" spans="15:17" ht="14.1" customHeight="1">
      <c r="O137" s="42" t="s">
        <v>1053</v>
      </c>
      <c r="P137" s="35" t="s">
        <v>1054</v>
      </c>
      <c r="Q137" s="45" t="s">
        <v>521</v>
      </c>
    </row>
    <row r="138" spans="15:17" ht="14.1" customHeight="1">
      <c r="O138" s="42" t="s">
        <v>1055</v>
      </c>
      <c r="P138" s="35" t="s">
        <v>1056</v>
      </c>
      <c r="Q138" s="45" t="s">
        <v>521</v>
      </c>
    </row>
    <row r="139" spans="15:17" ht="14.1" customHeight="1">
      <c r="O139" s="42" t="s">
        <v>1057</v>
      </c>
      <c r="P139" s="42" t="s">
        <v>1058</v>
      </c>
      <c r="Q139" s="45"/>
    </row>
    <row r="140" spans="15:17" ht="14.1" customHeight="1">
      <c r="O140" s="42" t="s">
        <v>1059</v>
      </c>
      <c r="P140" s="35" t="s">
        <v>1060</v>
      </c>
      <c r="Q140" s="45" t="s">
        <v>82</v>
      </c>
    </row>
    <row r="141" spans="15:17" ht="14.1" customHeight="1">
      <c r="O141" s="42" t="s">
        <v>1061</v>
      </c>
      <c r="P141" s="35" t="s">
        <v>1062</v>
      </c>
      <c r="Q141" s="45" t="s">
        <v>82</v>
      </c>
    </row>
    <row r="142" spans="15:17" ht="14.1" customHeight="1"/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14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13</vt:i4>
      </vt:variant>
    </vt:vector>
  </HeadingPairs>
  <TitlesOfParts>
    <vt:vector size="28" baseType="lpstr">
      <vt:lpstr>Materiales M.O.</vt:lpstr>
      <vt:lpstr>Hoja1 (2)</vt:lpstr>
      <vt:lpstr>Rubros Sub RubRos</vt:lpstr>
      <vt:lpstr>AP MI</vt:lpstr>
      <vt:lpstr>Cómp. y Presup.</vt:lpstr>
      <vt:lpstr>Plan de Trabajo</vt:lpstr>
      <vt:lpstr>GG</vt:lpstr>
      <vt:lpstr>GG (2)</vt:lpstr>
      <vt:lpstr>Hoja3</vt:lpstr>
      <vt:lpstr>Hoja1</vt:lpstr>
      <vt:lpstr>Hoja2</vt:lpstr>
      <vt:lpstr>Sanitarios</vt:lpstr>
      <vt:lpstr>Hoja4</vt:lpstr>
      <vt:lpstr>Cómp. y Presup.1</vt:lpstr>
      <vt:lpstr>Gráfico1</vt:lpstr>
      <vt:lpstr>'AP MI'!Área_de_impresión</vt:lpstr>
      <vt:lpstr>'Cómp. y Presup.'!Área_de_impresión</vt:lpstr>
      <vt:lpstr>'Cómp. y Presup.1'!Área_de_impresión</vt:lpstr>
      <vt:lpstr>'GG (2)'!Área_de_impresión</vt:lpstr>
      <vt:lpstr>'Materiales M.O.'!Área_de_impresión</vt:lpstr>
      <vt:lpstr>'Plan de Trabajo'!Área_de_impresión</vt:lpstr>
      <vt:lpstr>'Rubros Sub RubRos'!Área_de_impresión</vt:lpstr>
      <vt:lpstr>DATAP</vt:lpstr>
      <vt:lpstr>DATAPNETO</vt:lpstr>
      <vt:lpstr>DATRUB</vt:lpstr>
      <vt:lpstr>MATMO</vt:lpstr>
      <vt:lpstr>'AP MI'!Títulos_a_imprimir</vt:lpstr>
      <vt:lpstr>'Plan de Trabajo'!Títulos_a_imprimir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USUARIO1</dc:creator>
  <cp:lastModifiedBy>Daniel</cp:lastModifiedBy>
  <cp:lastPrinted>2016-10-08T13:59:18Z</cp:lastPrinted>
  <dcterms:created xsi:type="dcterms:W3CDTF">2012-04-16T20:49:29Z</dcterms:created>
  <dcterms:modified xsi:type="dcterms:W3CDTF">2017-08-03T20:31:05Z</dcterms:modified>
</cp:coreProperties>
</file>