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2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주소</t>
        </is>
      </c>
      <c r="C1" s="1" t="inlineStr">
        <is>
          <t>광고확인일</t>
        </is>
      </c>
      <c r="D1" s="1" t="inlineStr">
        <is>
          <t>거래방식</t>
        </is>
      </c>
      <c r="E1" s="1" t="inlineStr">
        <is>
          <t>가격</t>
        </is>
      </c>
      <c r="F1" s="1" t="inlineStr">
        <is>
          <t>특징</t>
        </is>
      </c>
      <c r="G1" s="1" t="inlineStr">
        <is>
          <t>중개사</t>
        </is>
      </c>
      <c r="H1" s="1" t="inlineStr">
        <is>
          <t>url</t>
        </is>
      </c>
    </row>
    <row r="2">
      <c r="A2" s="1" t="n">
        <v>0</v>
      </c>
      <c r="B2" t="inlineStr">
        <is>
          <t>address</t>
        </is>
      </c>
      <c r="C2" t="inlineStr">
        <is>
          <t>update</t>
        </is>
      </c>
      <c r="D2" t="inlineStr">
        <is>
          <t>type</t>
        </is>
      </c>
      <c r="E2" t="inlineStr">
        <is>
          <t>price</t>
        </is>
      </c>
      <c r="F2" t="inlineStr">
        <is>
          <t>spec</t>
        </is>
      </c>
      <c r="G2" t="inlineStr">
        <is>
          <t>agent</t>
        </is>
      </c>
      <c r="H2" t="inlineStr">
        <is>
          <t>url</t>
        </is>
      </c>
    </row>
    <row r="3">
      <c r="A3" s="1" t="n">
        <v>0</v>
      </c>
      <c r="B3" t="inlineStr">
        <is>
          <t>서울시 광진구 자양동 606-32</t>
        </is>
      </c>
      <c r="C3" t="inlineStr">
        <is>
          <t>21.12.17.</t>
        </is>
      </c>
      <c r="D3" t="inlineStr">
        <is>
          <t>전세</t>
        </is>
      </c>
      <c r="E3" t="inlineStr">
        <is>
          <t>2억 9,000</t>
        </is>
      </c>
      <c r="F3" t="inlineStr">
        <is>
          <t>50/44m², 3/4층, 남향</t>
        </is>
      </c>
      <c r="G3" t="inlineStr">
        <is>
          <t>박사공인중개사사무소</t>
        </is>
      </c>
      <c r="H3">
        <f>HYPERLINK("https://new.land.naver.com/houses?ms=37.5344483,127.0831475,15&amp;a=VL:DDDGG:JWJT:SGJT:HOJT&amp;e=RETAIL&amp;articleNo=2133656738", "서울시 광진구 자양동 606-32")</f>
        <v/>
      </c>
    </row>
    <row r="4">
      <c r="A4" s="1" t="n">
        <v>0</v>
      </c>
      <c r="B4" t="inlineStr">
        <is>
          <t>서울시 광진구 자양동 631-25</t>
        </is>
      </c>
      <c r="C4" t="inlineStr">
        <is>
          <t>21.12.17.</t>
        </is>
      </c>
      <c r="D4" t="inlineStr">
        <is>
          <t>전세</t>
        </is>
      </c>
      <c r="E4" t="inlineStr">
        <is>
          <t>3억</t>
        </is>
      </c>
      <c r="F4" t="inlineStr">
        <is>
          <t>29/29m², 2/5층, 서향</t>
        </is>
      </c>
      <c r="G4" t="inlineStr">
        <is>
          <t>양지공인중개사무소</t>
        </is>
      </c>
      <c r="H4">
        <f>HYPERLINK("https://new.land.naver.com/houses?ms=37.5344483,127.0831475,15&amp;a=VL:DDDGG:JWJT:SGJT:HOJT&amp;e=RETAIL&amp;articleNo=2133679896", "서울시 광진구 자양동 631-25")</f>
        <v/>
      </c>
    </row>
    <row r="5">
      <c r="A5" s="1" t="n">
        <v>0</v>
      </c>
      <c r="B5" t="inlineStr">
        <is>
          <t>서울시 광진구 자양동 10-10</t>
        </is>
      </c>
      <c r="C5" t="inlineStr">
        <is>
          <t>21.12.15.</t>
        </is>
      </c>
      <c r="D5" t="inlineStr">
        <is>
          <t>매매</t>
        </is>
      </c>
      <c r="E5" t="inlineStr">
        <is>
          <t>4억 1,500</t>
        </is>
      </c>
      <c r="F5" t="inlineStr">
        <is>
          <t>56/41m², 고/4층, 북향</t>
        </is>
      </c>
      <c r="G5" t="inlineStr">
        <is>
          <t>바른공인중개사사무소</t>
        </is>
      </c>
      <c r="H5">
        <f>HYPERLINK("https://new.land.naver.com/houses?ms=37.5344483,127.0831475,15&amp;a=VL:DDDGG:JWJT:SGJT:HOJT&amp;e=RETAIL&amp;articleNo=2133368251", "서울시 광진구 자양동 10-10")</f>
        <v/>
      </c>
    </row>
    <row r="6">
      <c r="A6" s="1" t="n">
        <v>0</v>
      </c>
      <c r="B6" t="inlineStr">
        <is>
          <t>서울시 광진구 자양동 680-9</t>
        </is>
      </c>
      <c r="C6" t="inlineStr">
        <is>
          <t>21.12.06.</t>
        </is>
      </c>
      <c r="D6" t="inlineStr">
        <is>
          <t>전세</t>
        </is>
      </c>
      <c r="E6" t="inlineStr">
        <is>
          <t>3억 2,000</t>
        </is>
      </c>
      <c r="F6" t="inlineStr">
        <is>
          <t>51/34m², 4/10층, 남향</t>
        </is>
      </c>
      <c r="G6" t="inlineStr">
        <is>
          <t>상우부동산공인중개사사무소</t>
        </is>
      </c>
      <c r="H6">
        <f>HYPERLINK("https://new.land.naver.com/houses?ms=37.5344483,127.0831475,15&amp;a=VL:DDDGG:JWJT:SGJT:HOJT&amp;e=RETAIL&amp;articleNo=2132246083", "서울시 광진구 자양동 680-9")</f>
        <v/>
      </c>
    </row>
    <row r="7">
      <c r="A7" s="1" t="n">
        <v>0</v>
      </c>
      <c r="B7" t="inlineStr">
        <is>
          <t>서울시 광진구 자양동 645-1</t>
        </is>
      </c>
      <c r="C7" t="inlineStr">
        <is>
          <t>22.01.03.</t>
        </is>
      </c>
      <c r="D7" t="inlineStr">
        <is>
          <t>매매</t>
        </is>
      </c>
      <c r="E7" t="inlineStr">
        <is>
          <t>6억 5,000</t>
        </is>
      </c>
      <c r="F7" t="inlineStr">
        <is>
          <t>119/84m², 1/5층, 남향</t>
        </is>
      </c>
      <c r="G7" t="inlineStr">
        <is>
          <t>부동산신화공인중개사</t>
        </is>
      </c>
      <c r="H7">
        <f>HYPERLINK("https://new.land.naver.com/houses?ms=37.5344483,127.0831475,15&amp;a=VL:DDDGG:JWJT:SGJT:HOJT&amp;e=RETAIL&amp;articleNo=2200182913", "서울시 광진구 자양동 645-1")</f>
        <v/>
      </c>
    </row>
    <row r="8">
      <c r="A8" s="1" t="n">
        <v>0</v>
      </c>
      <c r="B8" t="inlineStr">
        <is>
          <t>서울시 광진구 자양동 640-15</t>
        </is>
      </c>
      <c r="C8" t="inlineStr">
        <is>
          <t>22.01.04.</t>
        </is>
      </c>
      <c r="D8" t="inlineStr">
        <is>
          <t>전세</t>
        </is>
      </c>
      <c r="E8" t="inlineStr">
        <is>
          <t>1억 1,000</t>
        </is>
      </c>
      <c r="F8" t="inlineStr">
        <is>
          <t>19/14m², 4/4층, 남향</t>
        </is>
      </c>
      <c r="G8" t="inlineStr">
        <is>
          <t>영진부동산공인중개사사무소</t>
        </is>
      </c>
      <c r="H8">
        <f>HYPERLINK("https://new.land.naver.com/houses?ms=37.5344483,127.0831475,15&amp;a=VL:DDDGG:JWJT:SGJT:HOJT&amp;e=RETAIL&amp;articleNo=2200307136", "서울시 광진구 자양동 640-15")</f>
        <v/>
      </c>
    </row>
    <row r="9">
      <c r="A9" s="1" t="n">
        <v>0</v>
      </c>
      <c r="B9" t="inlineStr">
        <is>
          <t>서울시 광진구 자양동 667</t>
        </is>
      </c>
      <c r="C9" t="inlineStr">
        <is>
          <t>21.12.13.</t>
        </is>
      </c>
      <c r="D9" t="inlineStr">
        <is>
          <t>전세</t>
        </is>
      </c>
      <c r="E9" t="inlineStr">
        <is>
          <t>2억 4,000</t>
        </is>
      </c>
      <c r="F9" t="inlineStr">
        <is>
          <t>54/42m², 3/5층, 동향</t>
        </is>
      </c>
      <c r="G9" t="inlineStr">
        <is>
          <t>부동산뉴스공인중개사사무소</t>
        </is>
      </c>
      <c r="H9">
        <f>HYPERLINK("https://new.land.naver.com/houses?ms=37.5344483,127.0831475,15&amp;a=VL:DDDGG:JWJT:SGJT:HOJT&amp;e=RETAIL&amp;articleNo=2133176598", "서울시 광진구 자양동 667")</f>
        <v/>
      </c>
    </row>
    <row r="10">
      <c r="A10" s="1" t="n">
        <v>0</v>
      </c>
      <c r="B10" t="inlineStr">
        <is>
          <t>서울시 광진구 자양동 646-8</t>
        </is>
      </c>
      <c r="C10" t="inlineStr">
        <is>
          <t>22.01.04.</t>
        </is>
      </c>
      <c r="D10" t="inlineStr">
        <is>
          <t>월세</t>
        </is>
      </c>
      <c r="E10" t="inlineStr">
        <is>
          <t>2,000/50</t>
        </is>
      </c>
      <c r="F10" t="inlineStr">
        <is>
          <t>44/44m², 1/4층, 동향</t>
        </is>
      </c>
      <c r="G10" t="inlineStr">
        <is>
          <t>부동산뉴스공인중개사사무소</t>
        </is>
      </c>
      <c r="H10">
        <f>HYPERLINK("https://new.land.naver.com/houses?ms=37.5344483,127.0831475,15&amp;a=VL:DDDGG:JWJT:SGJT:HOJT&amp;e=RETAIL&amp;articleNo=2200300842", "서울시 광진구 자양동 646-8")</f>
        <v/>
      </c>
    </row>
    <row r="11">
      <c r="A11" s="1" t="n">
        <v>0</v>
      </c>
      <c r="B11" t="inlineStr">
        <is>
          <t>서울시 광진구 자양동 548</t>
        </is>
      </c>
      <c r="C11" t="inlineStr">
        <is>
          <t>21.12.14.</t>
        </is>
      </c>
      <c r="D11" t="inlineStr">
        <is>
          <t>월세</t>
        </is>
      </c>
      <c r="E11" t="inlineStr">
        <is>
          <t>3억/50</t>
        </is>
      </c>
      <c r="F11" t="inlineStr">
        <is>
          <t>54/54m², 저/6층, 동향</t>
        </is>
      </c>
      <c r="G11" t="inlineStr">
        <is>
          <t>삼성부동산공인중개사사무소</t>
        </is>
      </c>
      <c r="H11">
        <f>HYPERLINK("https://new.land.naver.com/houses?ms=37.5344483,127.0831475,15&amp;a=VL:DDDGG:JWJT:SGJT:HOJT&amp;e=RETAIL&amp;articleNo=2133290407", "서울시 광진구 자양동 548")</f>
        <v/>
      </c>
    </row>
    <row r="12">
      <c r="A12" s="1" t="n">
        <v>0</v>
      </c>
      <c r="B12" t="inlineStr">
        <is>
          <t>서울시 광진구 자양동</t>
        </is>
      </c>
      <c r="C12" t="inlineStr">
        <is>
          <t>21.12.06.</t>
        </is>
      </c>
      <c r="D12" t="inlineStr">
        <is>
          <t>월세</t>
        </is>
      </c>
      <c r="E12" t="inlineStr">
        <is>
          <t>5,000/30</t>
        </is>
      </c>
      <c r="F12" t="inlineStr">
        <is>
          <t>26/26m², 1/2층, 동향</t>
        </is>
      </c>
      <c r="G12" t="inlineStr">
        <is>
          <t>에덴부동산중개인사무소</t>
        </is>
      </c>
      <c r="H12">
        <f>HYPERLINK("https://new.land.naver.com/houses?ms=37.5344483,127.0831475,15&amp;a=VL:DDDGG:JWJT:SGJT:HOJT&amp;e=RETAIL&amp;articleNo=2132263957", "서울시 광진구 자양동")</f>
        <v/>
      </c>
    </row>
    <row r="13">
      <c r="A13" s="1" t="n">
        <v>0</v>
      </c>
      <c r="B13" t="inlineStr">
        <is>
          <t>서울시 광진구 자양동 770-1</t>
        </is>
      </c>
      <c r="C13" t="inlineStr">
        <is>
          <t>21.12.17.</t>
        </is>
      </c>
      <c r="D13" t="inlineStr">
        <is>
          <t>매매</t>
        </is>
      </c>
      <c r="E13" t="inlineStr">
        <is>
          <t>6억 3,000</t>
        </is>
      </c>
      <c r="F13" t="inlineStr">
        <is>
          <t>120/80m², 1/5층, 남향</t>
        </is>
      </c>
      <c r="G13" t="inlineStr">
        <is>
          <t>와우부동산공인중개사사무소</t>
        </is>
      </c>
      <c r="H13">
        <f>HYPERLINK("https://new.land.naver.com/houses?ms=37.5344483,127.0831475,15&amp;a=VL:DDDGG:JWJT:SGJT:HOJT&amp;e=RETAIL&amp;articleNo=2133574845", "서울시 광진구 자양동 770-1")</f>
        <v/>
      </c>
    </row>
    <row r="14">
      <c r="A14" s="1" t="n">
        <v>0</v>
      </c>
      <c r="B14" t="inlineStr">
        <is>
          <t>서울시 광진구 자양동 57-77</t>
        </is>
      </c>
      <c r="C14" t="inlineStr">
        <is>
          <t>21.12.31.</t>
        </is>
      </c>
      <c r="D14" t="inlineStr">
        <is>
          <t>매매</t>
        </is>
      </c>
      <c r="E14" t="inlineStr">
        <is>
          <t>10억</t>
        </is>
      </c>
      <c r="F14" t="inlineStr">
        <is>
          <t>44/29m², 2/5층, 동향</t>
        </is>
      </c>
      <c r="G14" t="inlineStr">
        <is>
          <t>뚝섬포인트공인중개사사무소</t>
        </is>
      </c>
      <c r="H14">
        <f>HYPERLINK("https://new.land.naver.com/houses?ms=37.5344483,127.0831475,15&amp;a=VL:DDDGG:JWJT:SGJT:HOJT&amp;e=RETAIL&amp;articleNo=2134981094", "서울시 광진구 자양동 57-77")</f>
        <v/>
      </c>
    </row>
    <row r="15">
      <c r="A15" s="1" t="n">
        <v>0</v>
      </c>
      <c r="B15" t="inlineStr">
        <is>
          <t>서울시 광진구 자양동 595-14</t>
        </is>
      </c>
      <c r="C15" t="inlineStr">
        <is>
          <t>21.12.28.</t>
        </is>
      </c>
      <c r="D15" t="inlineStr">
        <is>
          <t>전세</t>
        </is>
      </c>
      <c r="E15" t="inlineStr">
        <is>
          <t>2억 6,000</t>
        </is>
      </c>
      <c r="F15" t="inlineStr">
        <is>
          <t>28/28m², 5/6층, 동향</t>
        </is>
      </c>
      <c r="G15" t="inlineStr">
        <is>
          <t>삼성공인중개사사무소</t>
        </is>
      </c>
      <c r="H15">
        <f>HYPERLINK("https://new.land.naver.com/houses?ms=37.5344483,127.0831475,15&amp;a=VL:DDDGG:JWJT:SGJT:HOJT&amp;e=RETAIL&amp;articleNo=2134689854", "서울시 광진구 자양동 595-14")</f>
        <v/>
      </c>
    </row>
    <row r="16">
      <c r="A16" s="1" t="n">
        <v>0</v>
      </c>
      <c r="B16" t="inlineStr">
        <is>
          <t>서울시 광진구 자양동 669-6</t>
        </is>
      </c>
      <c r="C16" t="inlineStr">
        <is>
          <t>22.01.04.</t>
        </is>
      </c>
      <c r="D16" t="inlineStr">
        <is>
          <t>매매</t>
        </is>
      </c>
      <c r="E16" t="inlineStr">
        <is>
          <t>4억</t>
        </is>
      </c>
      <c r="F16" t="inlineStr">
        <is>
          <t>35/29m², 6/6층, 남향</t>
        </is>
      </c>
      <c r="G16" t="inlineStr">
        <is>
          <t>대원공인중개사무소</t>
        </is>
      </c>
      <c r="H16">
        <f>HYPERLINK("https://new.land.naver.com/houses?ms=37.5344483,127.0831475,15&amp;a=VL:DDDGG:JWJT:SGJT:HOJT&amp;e=RETAIL&amp;articleNo=2200361795", "서울시 광진구 자양동 669-6")</f>
        <v/>
      </c>
    </row>
    <row r="17">
      <c r="A17" s="1" t="n">
        <v>0</v>
      </c>
      <c r="B17" t="inlineStr">
        <is>
          <t>서울시 광진구 자양동 597-25</t>
        </is>
      </c>
      <c r="C17" t="inlineStr">
        <is>
          <t>22.01.04.</t>
        </is>
      </c>
      <c r="D17" t="inlineStr">
        <is>
          <t>월세</t>
        </is>
      </c>
      <c r="E17" t="inlineStr">
        <is>
          <t>1억 1,000/25</t>
        </is>
      </c>
      <c r="F17" t="inlineStr">
        <is>
          <t>40/31m², 2/3층, 서향</t>
        </is>
      </c>
      <c r="G17" t="inlineStr">
        <is>
          <t>신한공인중개사사무소</t>
        </is>
      </c>
      <c r="H17">
        <f>HYPERLINK("https://new.land.naver.com/houses?ms=37.5344483,127.0831475,15&amp;a=VL:DDDGG:JWJT:SGJT:HOJT&amp;e=RETAIL&amp;articleNo=2200347589", "서울시 광진구 자양동 597-25")</f>
        <v/>
      </c>
    </row>
    <row r="18">
      <c r="A18" s="1" t="n">
        <v>0</v>
      </c>
      <c r="B18" t="inlineStr">
        <is>
          <t>서울시 광진구 자양동 647-16</t>
        </is>
      </c>
      <c r="C18" t="inlineStr">
        <is>
          <t>22.01.04.</t>
        </is>
      </c>
      <c r="D18" t="inlineStr">
        <is>
          <t>매매</t>
        </is>
      </c>
      <c r="E18" t="inlineStr">
        <is>
          <t>4억 5,000</t>
        </is>
      </c>
      <c r="F18" t="inlineStr">
        <is>
          <t>55/47m², 2/5층, 서향</t>
        </is>
      </c>
      <c r="G18" t="inlineStr">
        <is>
          <t>부동산신화공인중개사</t>
        </is>
      </c>
      <c r="H18">
        <f>HYPERLINK("https://new.land.naver.com/houses?ms=37.5344483,127.0831475,15&amp;a=VL:DDDGG:JWJT:SGJT:HOJT&amp;e=RETAIL&amp;articleNo=2200346848", "서울시 광진구 자양동 647-16")</f>
        <v/>
      </c>
    </row>
    <row r="19">
      <c r="A19" s="1" t="n">
        <v>0</v>
      </c>
      <c r="B19" t="inlineStr">
        <is>
          <t>서울시 광진구 자양동 651-14</t>
        </is>
      </c>
      <c r="C19" t="inlineStr">
        <is>
          <t>22.01.01.</t>
        </is>
      </c>
      <c r="D19" t="inlineStr">
        <is>
          <t>전세</t>
        </is>
      </c>
      <c r="E19" t="inlineStr">
        <is>
          <t>3억</t>
        </is>
      </c>
      <c r="F19" t="inlineStr">
        <is>
          <t>58/58m², 2/4층, 남향</t>
        </is>
      </c>
      <c r="G19" t="inlineStr">
        <is>
          <t>에덴부동산중개인사무소</t>
        </is>
      </c>
      <c r="H19">
        <f>HYPERLINK("https://new.land.naver.com/houses?ms=37.5344483,127.0831475,15&amp;a=VL:DDDGG:JWJT:SGJT:HOJT&amp;e=RETAIL&amp;articleNo=2200000631", "서울시 광진구 자양동 651-14")</f>
        <v/>
      </c>
    </row>
    <row r="20">
      <c r="A20" s="1" t="n">
        <v>0</v>
      </c>
      <c r="B20" t="inlineStr">
        <is>
          <t>서울시 광진구 자양동 845-11</t>
        </is>
      </c>
      <c r="C20" t="inlineStr">
        <is>
          <t>22.01.04.</t>
        </is>
      </c>
      <c r="D20" t="inlineStr">
        <is>
          <t>전세</t>
        </is>
      </c>
      <c r="E20" t="inlineStr">
        <is>
          <t>1억 5,000</t>
        </is>
      </c>
      <c r="F20" t="inlineStr">
        <is>
          <t>82/82m², 2/3층, 동향</t>
        </is>
      </c>
      <c r="G20" t="inlineStr">
        <is>
          <t>혜성공인중개사사무소</t>
        </is>
      </c>
      <c r="H20">
        <f>HYPERLINK("https://new.land.naver.com/houses?ms=37.5344483,127.0831475,15&amp;a=VL:DDDGG:JWJT:SGJT:HOJT&amp;e=RETAIL&amp;articleNo=2200342999", "서울시 광진구 자양동 845-11")</f>
        <v/>
      </c>
    </row>
    <row r="21">
      <c r="A21" s="1" t="n">
        <v>0</v>
      </c>
      <c r="B21" t="inlineStr">
        <is>
          <t>서울시 광진구 자양동 8-14</t>
        </is>
      </c>
      <c r="C21" t="inlineStr">
        <is>
          <t>21.12.07.</t>
        </is>
      </c>
      <c r="D21" t="inlineStr">
        <is>
          <t>전세</t>
        </is>
      </c>
      <c r="E21" t="inlineStr">
        <is>
          <t>3억 5,000</t>
        </is>
      </c>
      <c r="F21" t="inlineStr">
        <is>
          <t>40/37m², 3/5층, 동향</t>
        </is>
      </c>
      <c r="G21" t="inlineStr">
        <is>
          <t>강남공인중개사사무소</t>
        </is>
      </c>
      <c r="H21">
        <f>HYPERLINK("https://new.land.naver.com/houses?ms=37.5344483,127.0831475,15&amp;a=VL:DDDGG:JWJT:SGJT:HOJT&amp;e=RETAIL&amp;articleNo=2132507280", "서울시 광진구 자양동 8-14")</f>
        <v/>
      </c>
    </row>
    <row r="22">
      <c r="A22" s="1" t="n">
        <v>0</v>
      </c>
      <c r="B22" t="inlineStr">
        <is>
          <t>서울시 광진구 자양동 229-13</t>
        </is>
      </c>
      <c r="C22" t="inlineStr">
        <is>
          <t>21.12.10.</t>
        </is>
      </c>
      <c r="D22" t="inlineStr">
        <is>
          <t>월세</t>
        </is>
      </c>
      <c r="E22" t="inlineStr">
        <is>
          <t>1억/110</t>
        </is>
      </c>
      <c r="F22" t="inlineStr">
        <is>
          <t>82/66m², 5/5층, 남서향</t>
        </is>
      </c>
      <c r="G22" t="inlineStr">
        <is>
          <t>부동산스타공인중개사</t>
        </is>
      </c>
      <c r="H22">
        <f>HYPERLINK("https://new.land.naver.com/houses?ms=37.5344483,127.0831475,15&amp;a=VL:DDDGG:JWJT:SGJT:HOJT&amp;e=RETAIL&amp;articleNo=2132893174", "서울시 광진구 자양동 229-13")</f>
        <v/>
      </c>
    </row>
    <row r="23">
      <c r="A23" s="1" t="n">
        <v>0</v>
      </c>
      <c r="B23" t="inlineStr">
        <is>
          <t>서울시 광진구 자양동 620-6</t>
        </is>
      </c>
      <c r="C23" t="inlineStr">
        <is>
          <t>21.12.07.</t>
        </is>
      </c>
      <c r="D23" t="inlineStr">
        <is>
          <t>매매</t>
        </is>
      </c>
      <c r="E23" t="inlineStr">
        <is>
          <t>4억 5,000</t>
        </is>
      </c>
      <c r="F23" t="inlineStr">
        <is>
          <t>54/48m², 5/5층, 남향</t>
        </is>
      </c>
      <c r="G23" t="inlineStr">
        <is>
          <t>우정공인중개사사무소</t>
        </is>
      </c>
      <c r="H23">
        <f>HYPERLINK("https://new.land.naver.com/houses?ms=37.5344483,127.0831475,15&amp;a=VL:DDDGG:JWJT:SGJT:HOJT&amp;e=RETAIL&amp;articleNo=2132455391", "서울시 광진구 자양동 620-6")</f>
        <v/>
      </c>
    </row>
    <row r="24">
      <c r="A24" s="1" t="n">
        <v>0</v>
      </c>
      <c r="B24" t="inlineStr">
        <is>
          <t>서울시 광진구 자양동 661-18</t>
        </is>
      </c>
      <c r="C24" t="inlineStr">
        <is>
          <t>21.12.06.</t>
        </is>
      </c>
      <c r="D24" t="inlineStr">
        <is>
          <t>매매</t>
        </is>
      </c>
      <c r="E24" t="inlineStr">
        <is>
          <t>5억 3,000</t>
        </is>
      </c>
      <c r="F24" t="inlineStr">
        <is>
          <t>46/39m², 고/6층, 남서향</t>
        </is>
      </c>
      <c r="G24" t="inlineStr">
        <is>
          <t>와우부동산공인중개사사무소</t>
        </is>
      </c>
      <c r="H24">
        <f>HYPERLINK("https://new.land.naver.com/houses?ms=37.5344483,127.0831475,15&amp;a=VL:DDDGG:JWJT:SGJT:HOJT&amp;e=RETAIL&amp;articleNo=2132245762", "서울시 광진구 자양동 661-18")</f>
        <v/>
      </c>
    </row>
    <row r="25">
      <c r="A25" s="1" t="n">
        <v>0</v>
      </c>
      <c r="B25" t="inlineStr">
        <is>
          <t>서울시 광진구 자양동 694-2</t>
        </is>
      </c>
      <c r="C25" t="inlineStr">
        <is>
          <t>22.01.03.</t>
        </is>
      </c>
      <c r="D25" t="inlineStr">
        <is>
          <t>매매</t>
        </is>
      </c>
      <c r="E25" t="inlineStr">
        <is>
          <t>15억</t>
        </is>
      </c>
      <c r="F25" t="inlineStr">
        <is>
          <t>119/119m², 1/3층, 남서향</t>
        </is>
      </c>
      <c r="G25" t="inlineStr">
        <is>
          <t>부동산40번지 공인중개사사무소</t>
        </is>
      </c>
      <c r="H25">
        <f>HYPERLINK("https://new.land.naver.com/houses?ms=37.5344483,127.0831475,15&amp;a=VL:DDDGG:JWJT:SGJT:HOJT&amp;e=RETAIL&amp;articleNo=2200118067", "서울시 광진구 자양동 694-2")</f>
        <v/>
      </c>
    </row>
    <row r="26">
      <c r="A26" s="1" t="n">
        <v>0</v>
      </c>
      <c r="B26" t="inlineStr">
        <is>
          <t>서울시 광진구 자양동 694-4</t>
        </is>
      </c>
      <c r="C26" t="inlineStr">
        <is>
          <t>21.12.17.</t>
        </is>
      </c>
      <c r="D26" t="inlineStr">
        <is>
          <t>매매</t>
        </is>
      </c>
      <c r="E26" t="inlineStr">
        <is>
          <t>10억</t>
        </is>
      </c>
      <c r="F26" t="inlineStr">
        <is>
          <t>53/53m², 저/3층, 남동향</t>
        </is>
      </c>
      <c r="G26" t="inlineStr">
        <is>
          <t>우진공인중개사사무소</t>
        </is>
      </c>
      <c r="H26">
        <f>HYPERLINK("https://new.land.naver.com/houses?ms=37.5344483,127.0831475,15&amp;a=VL:DDDGG:JWJT:SGJT:HOJT&amp;e=RETAIL&amp;articleNo=2133598746", "서울시 광진구 자양동 694-4")</f>
        <v/>
      </c>
    </row>
    <row r="27">
      <c r="A27" s="1" t="n">
        <v>0</v>
      </c>
      <c r="B27" t="inlineStr">
        <is>
          <t>서울시 광진구 자양동 477-1</t>
        </is>
      </c>
      <c r="C27" t="inlineStr">
        <is>
          <t>22.01.04.</t>
        </is>
      </c>
      <c r="D27" t="inlineStr">
        <is>
          <t>매매</t>
        </is>
      </c>
      <c r="E27" t="inlineStr">
        <is>
          <t>26억 2,750</t>
        </is>
      </c>
      <c r="F27" t="inlineStr">
        <is>
          <t>173/463m², 4/B1층, 동향</t>
        </is>
      </c>
      <c r="G27" t="inlineStr">
        <is>
          <t>축복컨설팅공인중개사사무소</t>
        </is>
      </c>
      <c r="H27">
        <f>HYPERLINK("https://new.land.naver.com/houses?ms=37.5344483,127.0831475,15&amp;a=VL:DDDGG:JWJT:SGJT:HOJT&amp;e=RETAIL&amp;articleNo=2200326226", "서울시 광진구 자양동 477-1")</f>
        <v/>
      </c>
    </row>
    <row r="28">
      <c r="A28" s="1" t="n">
        <v>0</v>
      </c>
      <c r="B28" t="inlineStr">
        <is>
          <t>서울시 광진구 자양동 231-2</t>
        </is>
      </c>
      <c r="C28" t="inlineStr">
        <is>
          <t>22.01.04.</t>
        </is>
      </c>
      <c r="D28" t="inlineStr">
        <is>
          <t>매매</t>
        </is>
      </c>
      <c r="E28" t="inlineStr">
        <is>
          <t>3억 1,000</t>
        </is>
      </c>
      <c r="F28" t="inlineStr">
        <is>
          <t>55/48m², 2/5층, 서향</t>
        </is>
      </c>
      <c r="G28" t="inlineStr">
        <is>
          <t>부동산스타 공인중개사 사무소</t>
        </is>
      </c>
      <c r="H28">
        <f>HYPERLINK("https://new.land.naver.com/houses?ms=37.5344483,127.0831475,15&amp;a=VL:DDDGG:JWJT:SGJT:HOJT&amp;e=RETAIL&amp;articleNo=2200326045", "서울시 광진구 자양동 231-2")</f>
        <v/>
      </c>
    </row>
    <row r="29">
      <c r="A29" s="1" t="n">
        <v>0</v>
      </c>
      <c r="B29" t="inlineStr">
        <is>
          <t>서울시 광진구 자양동 611-34</t>
        </is>
      </c>
      <c r="C29" t="inlineStr">
        <is>
          <t>21.12.07.</t>
        </is>
      </c>
      <c r="D29" t="inlineStr">
        <is>
          <t>전세</t>
        </is>
      </c>
      <c r="E29" t="inlineStr">
        <is>
          <t>3억</t>
        </is>
      </c>
      <c r="F29" t="inlineStr">
        <is>
          <t>36/28m², 2/6층, 남향</t>
        </is>
      </c>
      <c r="G29" t="inlineStr">
        <is>
          <t>어울림공인중개사사무소</t>
        </is>
      </c>
      <c r="H29">
        <f>HYPERLINK("https://new.land.naver.com/houses?ms=37.5344483,127.0831475,15&amp;a=VL:DDDGG:JWJT:SGJT:HOJT&amp;e=RETAIL&amp;articleNo=2132461356", "서울시 광진구 자양동 611-34")</f>
        <v/>
      </c>
    </row>
    <row r="30">
      <c r="A30" s="1" t="n">
        <v>0</v>
      </c>
      <c r="B30" t="inlineStr">
        <is>
          <t>서울시 광진구 자양동 794-7</t>
        </is>
      </c>
      <c r="C30" t="inlineStr">
        <is>
          <t>21.12.14.</t>
        </is>
      </c>
      <c r="D30" t="inlineStr">
        <is>
          <t>전세</t>
        </is>
      </c>
      <c r="E30" t="inlineStr">
        <is>
          <t>3억 3,000</t>
        </is>
      </c>
      <c r="F30" t="inlineStr">
        <is>
          <t>63/52m², 4/4층, 남동향</t>
        </is>
      </c>
      <c r="G30" t="inlineStr">
        <is>
          <t>우리부동산공인중개사사무소</t>
        </is>
      </c>
      <c r="H30">
        <f>HYPERLINK("https://new.land.naver.com/houses?ms=37.5344483,127.0831475,15&amp;a=VL:DDDGG:JWJT:SGJT:HOJT&amp;e=RETAIL&amp;articleNo=2133223817", "서울시 광진구 자양동 794-7")</f>
        <v/>
      </c>
    </row>
    <row r="31">
      <c r="A31" s="1" t="n">
        <v>0</v>
      </c>
      <c r="B31" t="inlineStr">
        <is>
          <t>서울시 광진구 자양동 227-1</t>
        </is>
      </c>
      <c r="C31" t="inlineStr">
        <is>
          <t>21.12.09.</t>
        </is>
      </c>
      <c r="D31" t="inlineStr">
        <is>
          <t>전세</t>
        </is>
      </c>
      <c r="E31" t="inlineStr">
        <is>
          <t>3억 7,000</t>
        </is>
      </c>
      <c r="F31" t="inlineStr">
        <is>
          <t>60/60m², 5/6층, 북동향</t>
        </is>
      </c>
      <c r="G31" t="inlineStr">
        <is>
          <t>자양래미안부동산</t>
        </is>
      </c>
      <c r="H31">
        <f>HYPERLINK("https://new.land.naver.com/houses?ms=37.5344483,127.0831475,15&amp;a=VL:DDDGG:JWJT:SGJT:HOJT&amp;e=RETAIL&amp;articleNo=2132753223", "서울시 광진구 자양동 227-1")</f>
        <v/>
      </c>
    </row>
    <row r="32">
      <c r="A32" s="1" t="n">
        <v>0</v>
      </c>
      <c r="B32" t="inlineStr">
        <is>
          <t>서울시 광진구 자양동 230-32</t>
        </is>
      </c>
      <c r="C32" t="inlineStr">
        <is>
          <t>21.12.13.</t>
        </is>
      </c>
      <c r="D32" t="inlineStr">
        <is>
          <t>전세</t>
        </is>
      </c>
      <c r="E32" t="inlineStr">
        <is>
          <t>2억 6,000</t>
        </is>
      </c>
      <c r="F32" t="inlineStr">
        <is>
          <t>23/16m², 4/5층, 남향</t>
        </is>
      </c>
      <c r="G32" t="inlineStr">
        <is>
          <t>뉴엘리트공인중개사사무소</t>
        </is>
      </c>
      <c r="H32">
        <f>HYPERLINK("https://new.land.naver.com/houses?ms=37.5344483,127.0831475,15&amp;a=VL:DDDGG:JWJT:SGJT:HOJT&amp;e=RETAIL&amp;articleNo=2133048205", "서울시 광진구 자양동 230-32")</f>
        <v/>
      </c>
    </row>
    <row r="33">
      <c r="A33" s="1" t="n">
        <v>0</v>
      </c>
      <c r="B33" t="inlineStr">
        <is>
          <t>서울시 광진구 자양동 230-27</t>
        </is>
      </c>
      <c r="C33" t="inlineStr">
        <is>
          <t>22.01.04.</t>
        </is>
      </c>
      <c r="D33" t="inlineStr">
        <is>
          <t>매매</t>
        </is>
      </c>
      <c r="E33" t="inlineStr">
        <is>
          <t>39억</t>
        </is>
      </c>
      <c r="F33" t="inlineStr">
        <is>
          <t>226/441m², 5/0층, 북향</t>
        </is>
      </c>
      <c r="G33" t="inlineStr">
        <is>
          <t>부동산스타 공인중개사 사무소</t>
        </is>
      </c>
      <c r="H33">
        <f>HYPERLINK("https://new.land.naver.com/houses?ms=37.5344483,127.0831475,15&amp;a=VL:DDDGG:JWJT:SGJT:HOJT&amp;e=RETAIL&amp;articleNo=2200320760", "서울시 광진구 자양동 230-27")</f>
        <v/>
      </c>
    </row>
    <row r="34">
      <c r="A34" s="1" t="n">
        <v>0</v>
      </c>
      <c r="B34" t="inlineStr">
        <is>
          <t>서울시 광진구 자양동 664-15</t>
        </is>
      </c>
      <c r="C34" t="inlineStr">
        <is>
          <t>21.12.15.</t>
        </is>
      </c>
      <c r="D34" t="inlineStr">
        <is>
          <t>매매</t>
        </is>
      </c>
      <c r="E34" t="inlineStr">
        <is>
          <t>6억 5,000</t>
        </is>
      </c>
      <c r="F34" t="inlineStr">
        <is>
          <t>91/84m², 4/5층, 서향</t>
        </is>
      </c>
      <c r="G34" t="inlineStr">
        <is>
          <t>대원공인중개사사무소</t>
        </is>
      </c>
      <c r="H34">
        <f>HYPERLINK("https://new.land.naver.com/houses?ms=37.5344483,127.0831475,15&amp;a=VL:DDDGG:JWJT:SGJT:HOJT&amp;e=RETAIL&amp;articleNo=2133426141", "서울시 광진구 자양동 664-15")</f>
        <v/>
      </c>
    </row>
    <row r="35">
      <c r="A35" s="1" t="n">
        <v>0</v>
      </c>
      <c r="B35" t="inlineStr">
        <is>
          <t>서울시 광진구 자양동 610-3</t>
        </is>
      </c>
      <c r="C35" t="inlineStr">
        <is>
          <t>21.12.09.</t>
        </is>
      </c>
      <c r="D35" t="inlineStr">
        <is>
          <t>매매</t>
        </is>
      </c>
      <c r="E35" t="inlineStr">
        <is>
          <t>7억 3,000</t>
        </is>
      </c>
      <c r="F35" t="inlineStr">
        <is>
          <t>80/49m², 3/6층, 동향</t>
        </is>
      </c>
      <c r="G35" t="inlineStr">
        <is>
          <t>에덴부동산중개인사무소</t>
        </is>
      </c>
      <c r="H35">
        <f>HYPERLINK("https://new.land.naver.com/houses?ms=37.5344483,127.0831475,15&amp;a=VL:DDDGG:JWJT:SGJT:HOJT&amp;e=RETAIL&amp;articleNo=2132700619", "서울시 광진구 자양동 610-3")</f>
        <v/>
      </c>
    </row>
    <row r="36">
      <c r="A36" s="1" t="n">
        <v>0</v>
      </c>
      <c r="B36" t="inlineStr">
        <is>
          <t>서울시 광진구 자양동 588-11</t>
        </is>
      </c>
      <c r="C36" t="inlineStr">
        <is>
          <t>21.12.13.</t>
        </is>
      </c>
      <c r="D36" t="inlineStr">
        <is>
          <t>매매</t>
        </is>
      </c>
      <c r="E36" t="inlineStr">
        <is>
          <t>4억 5,000</t>
        </is>
      </c>
      <c r="F36" t="inlineStr">
        <is>
          <t>35/28m², 중/6층, 남향</t>
        </is>
      </c>
      <c r="G36" t="inlineStr">
        <is>
          <t>명품공인중개사사무소</t>
        </is>
      </c>
      <c r="H36">
        <f>HYPERLINK("https://new.land.naver.com/houses?ms=37.5344483,127.0831475,15&amp;a=VL:DDDGG:JWJT:SGJT:HOJT&amp;e=RETAIL&amp;articleNo=2133060283", "서울시 광진구 자양동 588-11")</f>
        <v/>
      </c>
    </row>
    <row r="37">
      <c r="A37" s="1" t="n">
        <v>0</v>
      </c>
      <c r="B37" t="inlineStr">
        <is>
          <t>서울시 광진구 자양동 772-19</t>
        </is>
      </c>
      <c r="C37" t="inlineStr">
        <is>
          <t>21.12.27.</t>
        </is>
      </c>
      <c r="D37" t="inlineStr">
        <is>
          <t>매매</t>
        </is>
      </c>
      <c r="E37" t="inlineStr">
        <is>
          <t>3억 5,000</t>
        </is>
      </c>
      <c r="F37" t="inlineStr">
        <is>
          <t>40/29m², 5/5층, 동향</t>
        </is>
      </c>
      <c r="G37" t="inlineStr">
        <is>
          <t>엘리트공인중개사사무소</t>
        </is>
      </c>
      <c r="H37">
        <f>HYPERLINK("https://new.land.naver.com/houses?ms=37.5344483,127.0831475,15&amp;a=VL:DDDGG:JWJT:SGJT:HOJT&amp;e=RETAIL&amp;articleNo=2134474014", "서울시 광진구 자양동 772-19")</f>
        <v/>
      </c>
    </row>
    <row r="38">
      <c r="A38" s="1" t="n">
        <v>0</v>
      </c>
      <c r="B38" t="inlineStr">
        <is>
          <t>서울시 광진구 자양동 666-16</t>
        </is>
      </c>
      <c r="C38" t="inlineStr">
        <is>
          <t>21.12.07.</t>
        </is>
      </c>
      <c r="D38" t="inlineStr">
        <is>
          <t>전세</t>
        </is>
      </c>
      <c r="E38" t="inlineStr">
        <is>
          <t>3억 3,800</t>
        </is>
      </c>
      <c r="F38" t="inlineStr">
        <is>
          <t>49/26m², 2/6층, 동향</t>
        </is>
      </c>
      <c r="G38" t="inlineStr">
        <is>
          <t>서진공인중개사사무소</t>
        </is>
      </c>
      <c r="H38">
        <f>HYPERLINK("https://new.land.naver.com/houses?ms=37.5344483,127.0831475,15&amp;a=VL:DDDGG:JWJT:SGJT:HOJT&amp;e=RETAIL&amp;articleNo=2132421625", "서울시 광진구 자양동 666-16")</f>
        <v/>
      </c>
    </row>
    <row r="39">
      <c r="A39" s="1" t="n">
        <v>0</v>
      </c>
      <c r="B39" t="inlineStr">
        <is>
          <t>서울시 광진구 자양동 660-23</t>
        </is>
      </c>
      <c r="C39" t="inlineStr">
        <is>
          <t>21.12.06.</t>
        </is>
      </c>
      <c r="D39" t="inlineStr">
        <is>
          <t>전세</t>
        </is>
      </c>
      <c r="E39" t="inlineStr">
        <is>
          <t>3억 5,000</t>
        </is>
      </c>
      <c r="F39" t="inlineStr">
        <is>
          <t>42/42m², 2/4층, 남향</t>
        </is>
      </c>
      <c r="G39" t="inlineStr">
        <is>
          <t>베스트공인중개사사무소</t>
        </is>
      </c>
      <c r="H39">
        <f>HYPERLINK("https://new.land.naver.com/houses?ms=37.5344483,127.0831475,15&amp;a=VL:DDDGG:JWJT:SGJT:HOJT&amp;e=RETAIL&amp;articleNo=2132400222", "서울시 광진구 자양동 660-23")</f>
        <v/>
      </c>
    </row>
    <row r="40">
      <c r="A40" s="1" t="n">
        <v>0</v>
      </c>
      <c r="B40" t="inlineStr">
        <is>
          <t>서울시 광진구 자양동 654-27</t>
        </is>
      </c>
      <c r="C40" t="inlineStr">
        <is>
          <t>21.12.16.</t>
        </is>
      </c>
      <c r="D40" t="inlineStr">
        <is>
          <t>매매</t>
        </is>
      </c>
      <c r="E40" t="inlineStr">
        <is>
          <t>3억 3,000</t>
        </is>
      </c>
      <c r="F40" t="inlineStr">
        <is>
          <t>45/42m², 2/4층, 동향</t>
        </is>
      </c>
      <c r="G40" t="inlineStr">
        <is>
          <t>우정공인중개사사무소</t>
        </is>
      </c>
      <c r="H40">
        <f>HYPERLINK("https://new.land.naver.com/houses?ms=37.5344483,127.0831475,15&amp;a=VL:DDDGG:JWJT:SGJT:HOJT&amp;e=RETAIL&amp;articleNo=2133510539", "서울시 광진구 자양동 654-27")</f>
        <v/>
      </c>
    </row>
    <row r="41">
      <c r="A41" s="1" t="n">
        <v>0</v>
      </c>
      <c r="B41" t="inlineStr">
        <is>
          <t>서울시 광진구 자양동 680-11</t>
        </is>
      </c>
      <c r="C41" t="inlineStr">
        <is>
          <t>21.12.06.</t>
        </is>
      </c>
      <c r="D41" t="inlineStr">
        <is>
          <t>전세</t>
        </is>
      </c>
      <c r="E41" t="inlineStr">
        <is>
          <t>2억 9,500</t>
        </is>
      </c>
      <c r="F41" t="inlineStr">
        <is>
          <t>22/15m², 7/11층, 서향</t>
        </is>
      </c>
      <c r="G41" t="inlineStr">
        <is>
          <t>주식회사부동산중개법인수호</t>
        </is>
      </c>
      <c r="H41">
        <f>HYPERLINK("https://new.land.naver.com/houses?ms=37.5344483,127.0831475,15&amp;a=VL:DDDGG:JWJT:SGJT:HOJT&amp;e=RETAIL&amp;articleNo=2132294387", "서울시 광진구 자양동 680-11")</f>
        <v/>
      </c>
    </row>
    <row r="42">
      <c r="A42" s="1" t="n">
        <v>0</v>
      </c>
      <c r="B42" t="inlineStr">
        <is>
          <t>서울시 광진구 자양동 624-49</t>
        </is>
      </c>
      <c r="C42" t="inlineStr">
        <is>
          <t>22.01.04.</t>
        </is>
      </c>
      <c r="D42" t="inlineStr">
        <is>
          <t>월세</t>
        </is>
      </c>
      <c r="E42" t="inlineStr">
        <is>
          <t>1,500/60</t>
        </is>
      </c>
      <c r="F42" t="inlineStr">
        <is>
          <t>103/103m², 1/4층, 동향</t>
        </is>
      </c>
      <c r="G42" t="inlineStr">
        <is>
          <t>대림공인중개사사무소</t>
        </is>
      </c>
      <c r="H42">
        <f>HYPERLINK("https://new.land.naver.com/houses?ms=37.5344483,127.0831475,15&amp;a=VL:DDDGG:JWJT:SGJT:HOJT&amp;e=RETAIL&amp;articleNo=2200273497", "서울시 광진구 자양동 624-49")</f>
        <v/>
      </c>
    </row>
    <row r="43">
      <c r="A43" s="1" t="n">
        <v>0</v>
      </c>
      <c r="B43" t="inlineStr">
        <is>
          <t>서울시 광진구 자양동 683-19</t>
        </is>
      </c>
      <c r="C43" t="inlineStr">
        <is>
          <t>21.12.31.</t>
        </is>
      </c>
      <c r="D43" t="inlineStr">
        <is>
          <t>매매</t>
        </is>
      </c>
      <c r="E43" t="inlineStr">
        <is>
          <t>7억</t>
        </is>
      </c>
      <c r="F43" t="inlineStr">
        <is>
          <t>81/66m², 2/5층, 남향</t>
        </is>
      </c>
      <c r="G43" t="inlineStr">
        <is>
          <t>부동산신화공인중개사</t>
        </is>
      </c>
      <c r="H43">
        <f>HYPERLINK("https://new.land.naver.com/houses?ms=37.5344483,127.0831475,15&amp;a=VL:DDDGG:JWJT:SGJT:HOJT&amp;e=RETAIL&amp;articleNo=2135045997", "서울시 광진구 자양동 683-19")</f>
        <v/>
      </c>
    </row>
    <row r="44">
      <c r="A44" s="1" t="n">
        <v>0</v>
      </c>
      <c r="B44" t="inlineStr">
        <is>
          <t>서울시 광진구 자양동 57-124</t>
        </is>
      </c>
      <c r="C44" t="inlineStr">
        <is>
          <t>21.12.15.</t>
        </is>
      </c>
      <c r="D44" t="inlineStr">
        <is>
          <t>전세</t>
        </is>
      </c>
      <c r="E44" t="inlineStr">
        <is>
          <t>2억 7,000</t>
        </is>
      </c>
      <c r="F44" t="inlineStr">
        <is>
          <t>40/29m², 5/5층, 남서향</t>
        </is>
      </c>
      <c r="G44" t="inlineStr">
        <is>
          <t>엠공인중개사사무소</t>
        </is>
      </c>
      <c r="H44">
        <f>HYPERLINK("https://new.land.naver.com/houses?ms=37.5344483,127.0831475,15&amp;a=VL:DDDGG:JWJT:SGJT:HOJT&amp;e=RETAIL&amp;articleNo=2133335391", "서울시 광진구 자양동 57-124")</f>
        <v/>
      </c>
    </row>
    <row r="45">
      <c r="A45" s="1" t="n">
        <v>0</v>
      </c>
      <c r="B45" t="inlineStr">
        <is>
          <t>서울시 광진구 자양동 647-22</t>
        </is>
      </c>
      <c r="C45" t="inlineStr">
        <is>
          <t>21.12.14.</t>
        </is>
      </c>
      <c r="D45" t="inlineStr">
        <is>
          <t>월세</t>
        </is>
      </c>
      <c r="E45" t="inlineStr">
        <is>
          <t>5,000/160</t>
        </is>
      </c>
      <c r="F45" t="inlineStr">
        <is>
          <t>57/46m², 3/6층, 남향</t>
        </is>
      </c>
      <c r="G45" t="inlineStr">
        <is>
          <t>부동산신화공인중개사</t>
        </is>
      </c>
      <c r="H45">
        <f>HYPERLINK("https://new.land.naver.com/houses?ms=37.5344483,127.0831475,15&amp;a=VL:DDDGG:JWJT:SGJT:HOJT&amp;e=RETAIL&amp;articleNo=2133255740", "서울시 광진구 자양동 647-22")</f>
        <v/>
      </c>
    </row>
    <row r="46">
      <c r="A46" s="1" t="n">
        <v>0</v>
      </c>
      <c r="B46" t="inlineStr">
        <is>
          <t>서울시 광진구 자양동 672-16</t>
        </is>
      </c>
      <c r="C46" t="inlineStr">
        <is>
          <t>21.12.07.</t>
        </is>
      </c>
      <c r="D46" t="inlineStr">
        <is>
          <t>매매</t>
        </is>
      </c>
      <c r="E46" t="inlineStr">
        <is>
          <t>4억 5,000</t>
        </is>
      </c>
      <c r="F46" t="inlineStr">
        <is>
          <t>47/34m², 4/5층, 남향</t>
        </is>
      </c>
      <c r="G46" t="inlineStr">
        <is>
          <t>우정공인중개사사무소</t>
        </is>
      </c>
      <c r="H46">
        <f>HYPERLINK("https://new.land.naver.com/houses?ms=37.5344483,127.0831475,15&amp;a=VL:DDDGG:JWJT:SGJT:HOJT&amp;e=RETAIL&amp;articleNo=2132485343", "서울시 광진구 자양동 672-16")</f>
        <v/>
      </c>
    </row>
    <row r="47">
      <c r="A47" s="1" t="n">
        <v>0</v>
      </c>
      <c r="B47" t="inlineStr">
        <is>
          <t>서울시 광진구 자양동 613-6</t>
        </is>
      </c>
      <c r="C47" t="inlineStr">
        <is>
          <t>22.01.04.</t>
        </is>
      </c>
      <c r="D47" t="inlineStr">
        <is>
          <t>매매</t>
        </is>
      </c>
      <c r="E47" t="inlineStr">
        <is>
          <t>16억 5,000</t>
        </is>
      </c>
      <c r="F47" t="inlineStr">
        <is>
          <t>155/179m², 2/B1층, 북향</t>
        </is>
      </c>
      <c r="G47" t="inlineStr">
        <is>
          <t>진짜공인중개사사무소</t>
        </is>
      </c>
      <c r="H47">
        <f>HYPERLINK("https://new.land.naver.com/houses?ms=37.5344483,127.0831475,15&amp;a=VL:DDDGG:JWJT:SGJT:HOJT&amp;e=RETAIL&amp;articleNo=2200233873", "서울시 광진구 자양동 613-6")</f>
        <v/>
      </c>
    </row>
    <row r="48">
      <c r="A48" s="1" t="n">
        <v>0</v>
      </c>
      <c r="B48" t="inlineStr">
        <is>
          <t>서울시 광진구 자양동 227-246</t>
        </is>
      </c>
      <c r="C48" t="inlineStr">
        <is>
          <t>22.01.04.</t>
        </is>
      </c>
      <c r="D48" t="inlineStr">
        <is>
          <t>월세</t>
        </is>
      </c>
      <c r="E48" t="inlineStr">
        <is>
          <t>1억 2,000/10</t>
        </is>
      </c>
      <c r="F48" t="inlineStr">
        <is>
          <t>36/36m², 1/2층, 남서향</t>
        </is>
      </c>
      <c r="G48" t="inlineStr">
        <is>
          <t>뉴엘리트공인중개사사무소</t>
        </is>
      </c>
      <c r="H48">
        <f>HYPERLINK("https://new.land.naver.com/houses?ms=37.5344483,127.0831475,15&amp;a=VL:DDDGG:JWJT:SGJT:HOJT&amp;e=RETAIL&amp;articleNo=2200225103", "서울시 광진구 자양동 227-246")</f>
        <v/>
      </c>
    </row>
    <row r="49">
      <c r="A49" s="1" t="n">
        <v>0</v>
      </c>
      <c r="B49" t="inlineStr">
        <is>
          <t>서울시 광진구 자양동 769-39</t>
        </is>
      </c>
      <c r="C49" t="inlineStr">
        <is>
          <t>21.12.13.</t>
        </is>
      </c>
      <c r="D49" t="inlineStr">
        <is>
          <t>전세</t>
        </is>
      </c>
      <c r="E49" t="inlineStr">
        <is>
          <t>2억 7,000</t>
        </is>
      </c>
      <c r="F49" t="inlineStr">
        <is>
          <t>49/36m², 2/7층, 남향</t>
        </is>
      </c>
      <c r="G49" t="inlineStr">
        <is>
          <t>주식회사부동산중개법인수호</t>
        </is>
      </c>
      <c r="H49">
        <f>HYPERLINK("https://new.land.naver.com/houses?ms=37.5344483,127.0831475,15&amp;a=VL:DDDGG:JWJT:SGJT:HOJT&amp;e=RETAIL&amp;articleNo=2133188155", "서울시 광진구 자양동 769-39")</f>
        <v/>
      </c>
    </row>
    <row r="50">
      <c r="A50" s="1" t="n">
        <v>0</v>
      </c>
      <c r="B50" t="inlineStr">
        <is>
          <t>서울시 광진구 자양동 846-16</t>
        </is>
      </c>
      <c r="C50" t="inlineStr">
        <is>
          <t>22.01.04.</t>
        </is>
      </c>
      <c r="D50" t="inlineStr">
        <is>
          <t>월세</t>
        </is>
      </c>
      <c r="E50" t="inlineStr">
        <is>
          <t>800/70</t>
        </is>
      </c>
      <c r="F50" t="inlineStr">
        <is>
          <t>46/46m², 3/4층, 남향</t>
        </is>
      </c>
      <c r="G50" t="inlineStr">
        <is>
          <t>혜성공인중개사사무소</t>
        </is>
      </c>
      <c r="H50">
        <f>HYPERLINK("https://new.land.naver.com/houses?ms=37.5344483,127.0831475,15&amp;a=VL:DDDGG:JWJT:SGJT:HOJT&amp;e=RETAIL&amp;articleNo=2200219131", "서울시 광진구 자양동 846-16")</f>
        <v/>
      </c>
    </row>
    <row r="51">
      <c r="A51" s="1" t="n">
        <v>0</v>
      </c>
      <c r="B51" t="inlineStr">
        <is>
          <t>서울시 광진구 자양동 16-32</t>
        </is>
      </c>
      <c r="C51" t="inlineStr">
        <is>
          <t>21.12.09.</t>
        </is>
      </c>
      <c r="D51" t="inlineStr">
        <is>
          <t>매매</t>
        </is>
      </c>
      <c r="E51" t="inlineStr">
        <is>
          <t>3억</t>
        </is>
      </c>
      <c r="F51" t="inlineStr">
        <is>
          <t>23/18m², 3/4층, 동향</t>
        </is>
      </c>
      <c r="G51" t="inlineStr">
        <is>
          <t>부동산월드공인중개사사무소</t>
        </is>
      </c>
      <c r="H51">
        <f>HYPERLINK("https://new.land.naver.com/houses?ms=37.5344483,127.0831475,15&amp;a=VL:DDDGG:JWJT:SGJT:HOJT&amp;e=RETAIL&amp;articleNo=2132706121", "서울시 광진구 자양동 16-32")</f>
        <v/>
      </c>
    </row>
    <row r="52">
      <c r="A52" s="1" t="n">
        <v>0</v>
      </c>
      <c r="B52" t="inlineStr">
        <is>
          <t>서울시 광진구 자양동 581-14</t>
        </is>
      </c>
      <c r="C52" t="inlineStr">
        <is>
          <t>22.01.04.</t>
        </is>
      </c>
      <c r="D52" t="inlineStr">
        <is>
          <t>월세</t>
        </is>
      </c>
      <c r="E52" t="inlineStr">
        <is>
          <t>1,000/55</t>
        </is>
      </c>
      <c r="F52" t="inlineStr">
        <is>
          <t>30/30m², 고/5층, 남향</t>
        </is>
      </c>
      <c r="G52" t="inlineStr">
        <is>
          <t>어울림공인중개사사무소</t>
        </is>
      </c>
      <c r="H52">
        <f>HYPERLINK("https://new.land.naver.com/houses?ms=37.5344483,127.0831475,15&amp;a=VL:DDDGG:JWJT:SGJT:HOJT&amp;e=RETAIL&amp;articleNo=2200212111", "서울시 광진구 자양동 581-14")</f>
        <v/>
      </c>
    </row>
    <row r="53">
      <c r="A53" s="1" t="n">
        <v>0</v>
      </c>
      <c r="B53" t="inlineStr">
        <is>
          <t>서울시 광진구 자양동 583-2</t>
        </is>
      </c>
      <c r="C53" t="inlineStr">
        <is>
          <t>21.12.23.</t>
        </is>
      </c>
      <c r="D53" t="inlineStr">
        <is>
          <t>전세</t>
        </is>
      </c>
      <c r="E53" t="inlineStr">
        <is>
          <t>2억</t>
        </is>
      </c>
      <c r="F53" t="inlineStr">
        <is>
          <t>42/42m², 3/4층, 동향</t>
        </is>
      </c>
      <c r="G53" t="inlineStr">
        <is>
          <t>뉴엘리트공인중개사사무소</t>
        </is>
      </c>
      <c r="H53">
        <f>HYPERLINK("https://new.land.naver.com/houses?ms=37.5344483,127.0831475,15&amp;a=VL:DDDGG:JWJT:SGJT:HOJT&amp;e=RETAIL&amp;articleNo=2134232886", "서울시 광진구 자양동 583-2")</f>
        <v/>
      </c>
    </row>
    <row r="54">
      <c r="A54" s="1" t="n">
        <v>0</v>
      </c>
      <c r="B54" t="inlineStr">
        <is>
          <t>서울시 광진구 자양동 193-16</t>
        </is>
      </c>
      <c r="C54" t="inlineStr">
        <is>
          <t>22.01.04.</t>
        </is>
      </c>
      <c r="D54" t="inlineStr">
        <is>
          <t>전세</t>
        </is>
      </c>
      <c r="E54" t="inlineStr">
        <is>
          <t>3억 5,000</t>
        </is>
      </c>
      <c r="F54" t="inlineStr">
        <is>
          <t>39/29m², 중/6층, 남서향</t>
        </is>
      </c>
      <c r="G54" t="inlineStr">
        <is>
          <t>넘버원공인중개사사무소</t>
        </is>
      </c>
      <c r="H54">
        <f>HYPERLINK("https://new.land.naver.com/houses?ms=37.5344483,127.0831475,15&amp;a=VL:DDDGG:JWJT:SGJT:HOJT&amp;e=RETAIL&amp;articleNo=2200207251", "서울시 광진구 자양동 193-16")</f>
        <v/>
      </c>
    </row>
    <row r="55">
      <c r="A55" s="1" t="n">
        <v>0</v>
      </c>
      <c r="B55" t="inlineStr">
        <is>
          <t>서울시 광진구 자양동 553-370</t>
        </is>
      </c>
      <c r="C55" t="inlineStr">
        <is>
          <t>22.01.04.</t>
        </is>
      </c>
      <c r="D55" t="inlineStr">
        <is>
          <t>전세</t>
        </is>
      </c>
      <c r="E55" t="inlineStr">
        <is>
          <t>1억 7,000</t>
        </is>
      </c>
      <c r="F55" t="inlineStr">
        <is>
          <t>72/34m², 2/4층, 동향</t>
        </is>
      </c>
      <c r="G55" t="inlineStr">
        <is>
          <t>황소공인중개사사무소</t>
        </is>
      </c>
      <c r="H55">
        <f>HYPERLINK("https://new.land.naver.com/houses?ms=37.5344483,127.0831475,15&amp;a=VL:DDDGG:JWJT:SGJT:HOJT&amp;e=RETAIL&amp;articleNo=2200339586", "서울시 광진구 자양동 553-370")</f>
        <v/>
      </c>
    </row>
    <row r="56">
      <c r="A56" s="1" t="n">
        <v>0</v>
      </c>
      <c r="B56" t="inlineStr">
        <is>
          <t>서울시 광진구 자양동 694-3</t>
        </is>
      </c>
      <c r="C56" t="inlineStr">
        <is>
          <t>22.01.04.</t>
        </is>
      </c>
      <c r="D56" t="inlineStr">
        <is>
          <t>매매</t>
        </is>
      </c>
      <c r="E56" t="inlineStr">
        <is>
          <t>12억</t>
        </is>
      </c>
      <c r="F56" t="inlineStr">
        <is>
          <t>83/65m², 1/3층, 남향</t>
        </is>
      </c>
      <c r="G56" t="inlineStr">
        <is>
          <t>대신공인중개사사무소</t>
        </is>
      </c>
      <c r="H56">
        <f>HYPERLINK("https://new.land.naver.com/houses?ms=37.5344483,127.0831475,15&amp;a=VL:DDDGG:JWJT:SGJT:HOJT&amp;e=RETAIL&amp;articleNo=2200252729", "서울시 광진구 자양동 694-3")</f>
        <v/>
      </c>
    </row>
    <row r="57">
      <c r="A57" s="1" t="n">
        <v>0</v>
      </c>
      <c r="B57" t="inlineStr">
        <is>
          <t>서울시 광진구 자양동 619-5</t>
        </is>
      </c>
      <c r="C57" t="inlineStr">
        <is>
          <t>21.12.23.</t>
        </is>
      </c>
      <c r="D57" t="inlineStr">
        <is>
          <t>매매</t>
        </is>
      </c>
      <c r="E57" t="inlineStr">
        <is>
          <t>8억 5,000</t>
        </is>
      </c>
      <c r="F57" t="inlineStr">
        <is>
          <t>84/75m², 4/5층, 북동향</t>
        </is>
      </c>
      <c r="G57" t="inlineStr">
        <is>
          <t>대호공인중개사사무소</t>
        </is>
      </c>
      <c r="H57">
        <f>HYPERLINK("https://new.land.naver.com/houses?ms=37.5344483,127.0831475,15&amp;a=VL:DDDGG:JWJT:SGJT:HOJT&amp;e=RETAIL&amp;articleNo=2134301457", "서울시 광진구 자양동 619-5")</f>
        <v/>
      </c>
    </row>
    <row r="58">
      <c r="A58" s="1" t="n">
        <v>0</v>
      </c>
      <c r="B58" t="inlineStr">
        <is>
          <t>서울시 광진구 자양동 680-10</t>
        </is>
      </c>
      <c r="C58" t="inlineStr">
        <is>
          <t>21.12.06.</t>
        </is>
      </c>
      <c r="D58" t="inlineStr">
        <is>
          <t>전세</t>
        </is>
      </c>
      <c r="E58" t="inlineStr">
        <is>
          <t>3억 6,000</t>
        </is>
      </c>
      <c r="F58" t="inlineStr">
        <is>
          <t>32/26m², 고/10층, 북향</t>
        </is>
      </c>
      <c r="G58" t="inlineStr">
        <is>
          <t>테일러(tailor) 공인중개사 사무소</t>
        </is>
      </c>
      <c r="H58">
        <f>HYPERLINK("https://new.land.naver.com/houses?ms=37.5344483,127.0831475,15&amp;a=VL:DDDGG:JWJT:SGJT:HOJT&amp;e=RETAIL&amp;articleNo=2132337017", "서울시 광진구 자양동 680-10")</f>
        <v/>
      </c>
    </row>
    <row r="59">
      <c r="A59" s="1" t="n">
        <v>0</v>
      </c>
      <c r="B59" t="inlineStr">
        <is>
          <t>서울시 광진구 자양동 648-2</t>
        </is>
      </c>
      <c r="C59" t="inlineStr">
        <is>
          <t>22.01.03.</t>
        </is>
      </c>
      <c r="D59" t="inlineStr">
        <is>
          <t>전세</t>
        </is>
      </c>
      <c r="E59" t="inlineStr">
        <is>
          <t>4억 3,000</t>
        </is>
      </c>
      <c r="F59" t="inlineStr">
        <is>
          <t>79/69m², 4/5층, 동향</t>
        </is>
      </c>
      <c r="G59" t="inlineStr">
        <is>
          <t>영진부동산공인중개사사무소</t>
        </is>
      </c>
      <c r="H59">
        <f>HYPERLINK("https://new.land.naver.com/houses?ms=37.5344483,127.0831475,15&amp;a=VL:DDDGG:JWJT:SGJT:HOJT&amp;e=RETAIL&amp;articleNo=2200096125", "서울시 광진구 자양동 648-2")</f>
        <v/>
      </c>
    </row>
    <row r="60">
      <c r="A60" s="1" t="n">
        <v>0</v>
      </c>
      <c r="B60" t="inlineStr">
        <is>
          <t>서울시 광진구 자양동 610-31</t>
        </is>
      </c>
      <c r="C60" t="inlineStr">
        <is>
          <t>21.12.06.</t>
        </is>
      </c>
      <c r="D60" t="inlineStr">
        <is>
          <t>매매</t>
        </is>
      </c>
      <c r="E60" t="inlineStr">
        <is>
          <t>28억</t>
        </is>
      </c>
      <c r="F60" t="inlineStr">
        <is>
          <t>156/280m², 5/0층, 북서향</t>
        </is>
      </c>
      <c r="G60" t="inlineStr">
        <is>
          <t>엘리트공인중개사사무소</t>
        </is>
      </c>
      <c r="H60">
        <f>HYPERLINK("https://new.land.naver.com/houses?ms=37.5344483,127.0831475,15&amp;a=VL:DDDGG:JWJT:SGJT:HOJT&amp;e=RETAIL&amp;articleNo=2132263228", "서울시 광진구 자양동 610-31")</f>
        <v/>
      </c>
    </row>
    <row r="61">
      <c r="A61" s="1" t="n">
        <v>0</v>
      </c>
      <c r="B61" t="inlineStr">
        <is>
          <t>서울시 광진구 자양동 650-42</t>
        </is>
      </c>
      <c r="C61" t="inlineStr">
        <is>
          <t>21.12.24.</t>
        </is>
      </c>
      <c r="D61" t="inlineStr">
        <is>
          <t>전세</t>
        </is>
      </c>
      <c r="E61" t="inlineStr">
        <is>
          <t>2억</t>
        </is>
      </c>
      <c r="F61" t="inlineStr">
        <is>
          <t>51/46m², 2/4층, 남향</t>
        </is>
      </c>
      <c r="G61" t="inlineStr">
        <is>
          <t>부경공인중개사사무소</t>
        </is>
      </c>
      <c r="H61">
        <f>HYPERLINK("https://new.land.naver.com/houses?ms=37.5344483,127.0831475,15&amp;a=VL:DDDGG:JWJT:SGJT:HOJT&amp;e=RETAIL&amp;articleNo=2134411938", "서울시 광진구 자양동 650-42")</f>
        <v/>
      </c>
    </row>
    <row r="62">
      <c r="A62" s="1" t="n">
        <v>0</v>
      </c>
      <c r="B62" t="inlineStr">
        <is>
          <t>서울시 광진구 자양동 589-18</t>
        </is>
      </c>
      <c r="C62" t="inlineStr">
        <is>
          <t>21.12.28.</t>
        </is>
      </c>
      <c r="D62" t="inlineStr">
        <is>
          <t>매매</t>
        </is>
      </c>
      <c r="E62" t="inlineStr">
        <is>
          <t>27억</t>
        </is>
      </c>
      <c r="F62" t="inlineStr">
        <is>
          <t>200/382m², 5/0층, 동향</t>
        </is>
      </c>
      <c r="G62" t="inlineStr">
        <is>
          <t>동아공인중개사사무소</t>
        </is>
      </c>
      <c r="H62">
        <f>HYPERLINK("https://new.land.naver.com/houses?ms=37.5344483,127.0831475,15&amp;a=VL:DDDGG:JWJT:SGJT:HOJT&amp;e=RETAIL&amp;articleNo=2134645402", "서울시 광진구 자양동 589-18")</f>
        <v/>
      </c>
    </row>
    <row r="63">
      <c r="A63" s="1" t="n">
        <v>0</v>
      </c>
      <c r="B63" t="inlineStr">
        <is>
          <t>서울시 광진구 자양동 666-12</t>
        </is>
      </c>
      <c r="C63" t="inlineStr">
        <is>
          <t>22.01.03.</t>
        </is>
      </c>
      <c r="D63" t="inlineStr">
        <is>
          <t>전세</t>
        </is>
      </c>
      <c r="E63" t="inlineStr">
        <is>
          <t>4억 5,000</t>
        </is>
      </c>
      <c r="F63" t="inlineStr">
        <is>
          <t>67/59m², 4/5층, 남향</t>
        </is>
      </c>
      <c r="G63" t="inlineStr">
        <is>
          <t>해뜨는공인중개사사무소</t>
        </is>
      </c>
      <c r="H63">
        <f>HYPERLINK("https://new.land.naver.com/houses?ms=37.5344483,127.0831475,15&amp;a=VL:DDDGG:JWJT:SGJT:HOJT&amp;e=RETAIL&amp;articleNo=2200206011", "서울시 광진구 자양동 666-12")</f>
        <v/>
      </c>
    </row>
    <row r="64">
      <c r="A64" s="1" t="n">
        <v>0</v>
      </c>
      <c r="B64" t="inlineStr">
        <is>
          <t>서울시 광진구 자양동 633-7</t>
        </is>
      </c>
      <c r="C64" t="inlineStr">
        <is>
          <t>21.12.27.</t>
        </is>
      </c>
      <c r="D64" t="inlineStr">
        <is>
          <t>전세</t>
        </is>
      </c>
      <c r="E64" t="inlineStr">
        <is>
          <t>3억 6,500</t>
        </is>
      </c>
      <c r="F64" t="inlineStr">
        <is>
          <t>45/29m², 4/5층, 남서향</t>
        </is>
      </c>
      <c r="G64" t="inlineStr">
        <is>
          <t>주식회사부동산중개법인수호</t>
        </is>
      </c>
      <c r="H64">
        <f>HYPERLINK("https://new.land.naver.com/houses?ms=37.5344483,127.0831475,15&amp;a=VL:DDDGG:JWJT:SGJT:HOJT&amp;e=RETAIL&amp;articleNo=2134543922", "서울시 광진구 자양동 633-7")</f>
        <v/>
      </c>
    </row>
    <row r="65">
      <c r="A65" s="1" t="n">
        <v>0</v>
      </c>
      <c r="B65" t="inlineStr">
        <is>
          <t>서울시 광진구 자양동 553-415</t>
        </is>
      </c>
      <c r="C65" t="inlineStr">
        <is>
          <t>22.01.03.</t>
        </is>
      </c>
      <c r="D65" t="inlineStr">
        <is>
          <t>매매</t>
        </is>
      </c>
      <c r="E65" t="inlineStr">
        <is>
          <t>6억 4,400</t>
        </is>
      </c>
      <c r="F65" t="inlineStr">
        <is>
          <t>55/42m², 3/5층, 남향</t>
        </is>
      </c>
      <c r="G65" t="inlineStr">
        <is>
          <t>부동산월드공인중개사사무소</t>
        </is>
      </c>
      <c r="H65">
        <f>HYPERLINK("https://new.land.naver.com/houses?ms=37.5344483,127.0831475,15&amp;a=VL:DDDGG:JWJT:SGJT:HOJT&amp;e=RETAIL&amp;articleNo=2200186994", "서울시 광진구 자양동 553-415")</f>
        <v/>
      </c>
    </row>
    <row r="66">
      <c r="A66" s="1" t="n">
        <v>0</v>
      </c>
      <c r="B66" t="inlineStr">
        <is>
          <t>서울시 광진구 자양동 227-256</t>
        </is>
      </c>
      <c r="C66" t="inlineStr">
        <is>
          <t>21.12.18.</t>
        </is>
      </c>
      <c r="D66" t="inlineStr">
        <is>
          <t>매매</t>
        </is>
      </c>
      <c r="E66" t="inlineStr">
        <is>
          <t>15억 8,000</t>
        </is>
      </c>
      <c r="F66" t="inlineStr">
        <is>
          <t>147/312m², 3/B1층, 남향</t>
        </is>
      </c>
      <c r="G66" t="inlineStr">
        <is>
          <t>희망공인중개사사무소</t>
        </is>
      </c>
      <c r="H66">
        <f>HYPERLINK("https://new.land.naver.com/houses?ms=37.5344483,127.0831475,15&amp;a=VL:DDDGG:JWJT:SGJT:HOJT&amp;e=RETAIL&amp;articleNo=2133753448", "서울시 광진구 자양동 227-256")</f>
        <v/>
      </c>
    </row>
    <row r="67">
      <c r="A67" s="1" t="n">
        <v>0</v>
      </c>
      <c r="B67" t="inlineStr">
        <is>
          <t>서울시 광진구 자양동 227-108</t>
        </is>
      </c>
      <c r="C67" t="inlineStr">
        <is>
          <t>21.12.06.</t>
        </is>
      </c>
      <c r="D67" t="inlineStr">
        <is>
          <t>매매</t>
        </is>
      </c>
      <c r="E67" t="inlineStr">
        <is>
          <t>20억</t>
        </is>
      </c>
      <c r="F67" t="inlineStr">
        <is>
          <t>91/216m², 5/0층, 서향</t>
        </is>
      </c>
      <c r="G67" t="inlineStr">
        <is>
          <t>부동산스타 공인중개사 사무소</t>
        </is>
      </c>
      <c r="H67">
        <f>HYPERLINK("https://new.land.naver.com/houses?ms=37.5344483,127.0831475,15&amp;a=VL:DDDGG:JWJT:SGJT:HOJT&amp;e=RETAIL&amp;articleNo=2132387419", "서울시 광진구 자양동 227-108")</f>
        <v/>
      </c>
    </row>
    <row r="68">
      <c r="A68" s="1" t="n">
        <v>0</v>
      </c>
      <c r="B68" t="inlineStr">
        <is>
          <t>서울시 광진구 자양동 59-14</t>
        </is>
      </c>
      <c r="C68" t="inlineStr">
        <is>
          <t>22.01.03.</t>
        </is>
      </c>
      <c r="D68" t="inlineStr">
        <is>
          <t>월세</t>
        </is>
      </c>
      <c r="E68" t="inlineStr">
        <is>
          <t>8,000/20</t>
        </is>
      </c>
      <c r="F68" t="inlineStr">
        <is>
          <t>40/37m², 2/2층, 남서향</t>
        </is>
      </c>
      <c r="G68" t="inlineStr">
        <is>
          <t>윤공인중개사사무소</t>
        </is>
      </c>
      <c r="H68">
        <f>HYPERLINK("https://new.land.naver.com/houses?ms=37.5344483,127.0831475,15&amp;a=VL:DDDGG:JWJT:SGJT:HOJT&amp;e=RETAIL&amp;articleNo=2200182683", "서울시 광진구 자양동 59-14")</f>
        <v/>
      </c>
    </row>
    <row r="69">
      <c r="A69" s="1" t="n">
        <v>0</v>
      </c>
      <c r="B69" t="inlineStr">
        <is>
          <t>서울시 광진구 자양동 648-30</t>
        </is>
      </c>
      <c r="C69" t="inlineStr">
        <is>
          <t>21.12.07.</t>
        </is>
      </c>
      <c r="D69" t="inlineStr">
        <is>
          <t>월세</t>
        </is>
      </c>
      <c r="E69" t="inlineStr">
        <is>
          <t>3억 5,000/50</t>
        </is>
      </c>
      <c r="F69" t="inlineStr">
        <is>
          <t>80/63m², 2/4층, 남동향</t>
        </is>
      </c>
      <c r="G69" t="inlineStr">
        <is>
          <t>에덴부동산중개인사무소</t>
        </is>
      </c>
      <c r="H69">
        <f>HYPERLINK("https://new.land.naver.com/houses?ms=37.5344483,127.0831475,15&amp;a=VL:DDDGG:JWJT:SGJT:HOJT&amp;e=RETAIL&amp;articleNo=2132558927", "서울시 광진구 자양동 648-30")</f>
        <v/>
      </c>
    </row>
    <row r="70">
      <c r="A70" s="1" t="n">
        <v>0</v>
      </c>
      <c r="B70" t="inlineStr">
        <is>
          <t>서울시 광진구 자양동 655-36</t>
        </is>
      </c>
      <c r="C70" t="inlineStr">
        <is>
          <t>21.12.27.</t>
        </is>
      </c>
      <c r="D70" t="inlineStr">
        <is>
          <t>월세</t>
        </is>
      </c>
      <c r="E70" t="inlineStr">
        <is>
          <t>500/25</t>
        </is>
      </c>
      <c r="F70" t="inlineStr">
        <is>
          <t>21/21m², B1/2층, 남동향</t>
        </is>
      </c>
      <c r="G70" t="inlineStr">
        <is>
          <t>(주)탑부동산중개법인</t>
        </is>
      </c>
      <c r="H70">
        <f>HYPERLINK("https://new.land.naver.com/houses?ms=37.5344483,127.0831475,15&amp;a=VL:DDDGG:JWJT:SGJT:HOJT&amp;e=RETAIL&amp;articleNo=2134565082", "서울시 광진구 자양동 655-36")</f>
        <v/>
      </c>
    </row>
    <row r="71">
      <c r="A71" s="1" t="n">
        <v>0</v>
      </c>
      <c r="B71" t="inlineStr">
        <is>
          <t>서울시 광진구 자양동 651-20</t>
        </is>
      </c>
      <c r="C71" t="inlineStr">
        <is>
          <t>21.12.30.</t>
        </is>
      </c>
      <c r="D71" t="inlineStr">
        <is>
          <t>전세</t>
        </is>
      </c>
      <c r="E71" t="inlineStr">
        <is>
          <t>2억 3,000</t>
        </is>
      </c>
      <c r="F71" t="inlineStr">
        <is>
          <t>49/42m², 3/5층, 남서향</t>
        </is>
      </c>
      <c r="G71" t="inlineStr">
        <is>
          <t>새우리공인중개사사무소</t>
        </is>
      </c>
      <c r="H71">
        <f>HYPERLINK("https://new.land.naver.com/houses?ms=37.5344483,127.0831475,15&amp;a=VL:DDDGG:JWJT:SGJT:HOJT&amp;e=RETAIL&amp;articleNo=2134864432", "서울시 광진구 자양동 651-20")</f>
        <v/>
      </c>
    </row>
    <row r="72">
      <c r="A72" s="1" t="n">
        <v>0</v>
      </c>
      <c r="B72" t="inlineStr">
        <is>
          <t>서울시 광진구 자양동 193-13</t>
        </is>
      </c>
      <c r="C72" t="inlineStr">
        <is>
          <t>22.01.01.</t>
        </is>
      </c>
      <c r="D72" t="inlineStr">
        <is>
          <t>전세</t>
        </is>
      </c>
      <c r="E72" t="inlineStr">
        <is>
          <t>3억 2,000</t>
        </is>
      </c>
      <c r="F72" t="inlineStr">
        <is>
          <t>30/23m², 2/6층, 동향</t>
        </is>
      </c>
      <c r="G72" t="inlineStr">
        <is>
          <t>달인공인중개사사무소</t>
        </is>
      </c>
      <c r="H72">
        <f>HYPERLINK("https://new.land.naver.com/houses?ms=37.5344483,127.0831475,15&amp;a=VL:DDDGG:JWJT:SGJT:HOJT&amp;e=RETAIL&amp;articleNo=2200004120", "서울시 광진구 자양동 193-13")</f>
        <v/>
      </c>
    </row>
    <row r="73">
      <c r="A73" s="1" t="n">
        <v>0</v>
      </c>
      <c r="B73" t="inlineStr">
        <is>
          <t>서울시 광진구 자양동 842-5</t>
        </is>
      </c>
      <c r="C73" t="inlineStr">
        <is>
          <t>21.12.11.</t>
        </is>
      </c>
      <c r="D73" t="inlineStr">
        <is>
          <t>전세</t>
        </is>
      </c>
      <c r="E73" t="inlineStr">
        <is>
          <t>2억 8,000</t>
        </is>
      </c>
      <c r="F73" t="inlineStr">
        <is>
          <t>32/27m², 5/5층, 동향</t>
        </is>
      </c>
      <c r="G73" t="inlineStr">
        <is>
          <t>한강공인중개사사무소</t>
        </is>
      </c>
      <c r="H73">
        <f>HYPERLINK("https://new.land.naver.com/houses?ms=37.5344483,127.0831475,15&amp;a=VL:DDDGG:JWJT:SGJT:HOJT&amp;e=RETAIL&amp;articleNo=2133035344", "서울시 광진구 자양동 842-5")</f>
        <v/>
      </c>
    </row>
    <row r="74">
      <c r="A74" s="1" t="n">
        <v>0</v>
      </c>
      <c r="B74" t="inlineStr">
        <is>
          <t>서울시 광진구 자양동 846-13</t>
        </is>
      </c>
      <c r="C74" t="inlineStr">
        <is>
          <t>22.01.03.</t>
        </is>
      </c>
      <c r="D74" t="inlineStr">
        <is>
          <t>전세</t>
        </is>
      </c>
      <c r="E74" t="inlineStr">
        <is>
          <t>2억 8,900</t>
        </is>
      </c>
      <c r="F74" t="inlineStr">
        <is>
          <t>73/69m², 2/3층, 남동향</t>
        </is>
      </c>
      <c r="G74" t="inlineStr">
        <is>
          <t>길공인중개사사무소</t>
        </is>
      </c>
      <c r="H74">
        <f>HYPERLINK("https://new.land.naver.com/houses?ms=37.5344483,127.0831475,15&amp;a=VL:DDDGG:JWJT:SGJT:HOJT&amp;e=RETAIL&amp;articleNo=2200159284", "서울시 광진구 자양동 846-13")</f>
        <v/>
      </c>
    </row>
    <row r="75">
      <c r="A75" s="1" t="n">
        <v>0</v>
      </c>
      <c r="B75" t="inlineStr">
        <is>
          <t>서울시 광진구 자양동 225-44</t>
        </is>
      </c>
      <c r="C75" t="inlineStr">
        <is>
          <t>21.12.27.</t>
        </is>
      </c>
      <c r="D75" t="inlineStr">
        <is>
          <t>전세</t>
        </is>
      </c>
      <c r="E75" t="inlineStr">
        <is>
          <t>5억</t>
        </is>
      </c>
      <c r="F75" t="inlineStr">
        <is>
          <t>73/73m², 5/6층, 남향</t>
        </is>
      </c>
      <c r="G75" t="inlineStr">
        <is>
          <t>금빛부동산공인중개사사무소</t>
        </is>
      </c>
      <c r="H75">
        <f>HYPERLINK("https://new.land.naver.com/houses?ms=37.5344483,127.0831475,15&amp;a=VL:DDDGG:JWJT:SGJT:HOJT&amp;e=RETAIL&amp;articleNo=2134551595", "서울시 광진구 자양동 225-44")</f>
        <v/>
      </c>
    </row>
    <row r="76">
      <c r="A76" s="1" t="n">
        <v>0</v>
      </c>
      <c r="B76" t="inlineStr">
        <is>
          <t>서울시 광진구 자양동 6-6</t>
        </is>
      </c>
      <c r="C76" t="inlineStr">
        <is>
          <t>22.01.03.</t>
        </is>
      </c>
      <c r="D76" t="inlineStr">
        <is>
          <t>월세</t>
        </is>
      </c>
      <c r="E76" t="inlineStr">
        <is>
          <t>1,000/85</t>
        </is>
      </c>
      <c r="F76" t="inlineStr">
        <is>
          <t>462/49m², 1/4층, 남향</t>
        </is>
      </c>
      <c r="G76" t="inlineStr">
        <is>
          <t>혜성공인중개사사무소</t>
        </is>
      </c>
      <c r="H76">
        <f>HYPERLINK("https://new.land.naver.com/houses?ms=37.5344483,127.0831475,15&amp;a=VL:DDDGG:JWJT:SGJT:HOJT&amp;e=RETAIL&amp;articleNo=2200142223", "서울시 광진구 자양동 6-6")</f>
        <v/>
      </c>
    </row>
    <row r="77">
      <c r="A77" s="1" t="n">
        <v>0</v>
      </c>
      <c r="B77" t="inlineStr">
        <is>
          <t>서울시 광진구 자양동 647-11</t>
        </is>
      </c>
      <c r="C77" t="inlineStr">
        <is>
          <t>21.12.07.</t>
        </is>
      </c>
      <c r="D77" t="inlineStr">
        <is>
          <t>월세</t>
        </is>
      </c>
      <c r="E77" t="inlineStr">
        <is>
          <t>1,000/35</t>
        </is>
      </c>
      <c r="F77" t="inlineStr">
        <is>
          <t>43/33m², 3/3층, 동향</t>
        </is>
      </c>
      <c r="G77" t="inlineStr">
        <is>
          <t>부동산신화공인중개사사무소</t>
        </is>
      </c>
      <c r="H77">
        <f>HYPERLINK("https://new.land.naver.com/houses?ms=37.5344483,127.0831475,15&amp;a=VL:DDDGG:JWJT:SGJT:HOJT&amp;e=RETAIL&amp;articleNo=2132504978", "서울시 광진구 자양동 647-11")</f>
        <v/>
      </c>
    </row>
    <row r="78">
      <c r="A78" s="1" t="n">
        <v>0</v>
      </c>
      <c r="B78" t="inlineStr">
        <is>
          <t>서울시 광진구 자양동 589-3</t>
        </is>
      </c>
      <c r="C78" t="inlineStr">
        <is>
          <t>21.12.15.</t>
        </is>
      </c>
      <c r="D78" t="inlineStr">
        <is>
          <t>매매</t>
        </is>
      </c>
      <c r="E78" t="inlineStr">
        <is>
          <t>4억 5,000</t>
        </is>
      </c>
      <c r="F78" t="inlineStr">
        <is>
          <t>30/24m², 2/6층, 동향</t>
        </is>
      </c>
      <c r="G78" t="inlineStr">
        <is>
          <t>대원공인중개사사무소</t>
        </is>
      </c>
      <c r="H78">
        <f>HYPERLINK("https://new.land.naver.com/houses?ms=37.5344483,127.0831475,15&amp;a=VL:DDDGG:JWJT:SGJT:HOJT&amp;e=RETAIL&amp;articleNo=2133427091", "서울시 광진구 자양동 589-3")</f>
        <v/>
      </c>
    </row>
    <row r="79">
      <c r="A79" s="1" t="n">
        <v>0</v>
      </c>
      <c r="B79" t="inlineStr">
        <is>
          <t>서울시 광진구 자양동 622-22</t>
        </is>
      </c>
      <c r="C79" t="inlineStr">
        <is>
          <t>21.12.16.</t>
        </is>
      </c>
      <c r="D79" t="inlineStr">
        <is>
          <t>매매</t>
        </is>
      </c>
      <c r="E79" t="inlineStr">
        <is>
          <t>5억 3,000</t>
        </is>
      </c>
      <c r="F79" t="inlineStr">
        <is>
          <t>79/66m², 2/4층, 동향</t>
        </is>
      </c>
      <c r="G79" t="inlineStr">
        <is>
          <t>행복894공인중개사</t>
        </is>
      </c>
      <c r="H79">
        <f>HYPERLINK("https://new.land.naver.com/houses?ms=37.5344483,127.0831475,15&amp;a=VL:DDDGG:JWJT:SGJT:HOJT&amp;e=RETAIL&amp;articleNo=2133533924", "서울시 광진구 자양동 622-22")</f>
        <v/>
      </c>
    </row>
    <row r="80">
      <c r="A80" s="1" t="n">
        <v>0</v>
      </c>
      <c r="B80" t="inlineStr">
        <is>
          <t>서울시 광진구 자양동 648-3</t>
        </is>
      </c>
      <c r="C80" t="inlineStr">
        <is>
          <t>21.12.11.</t>
        </is>
      </c>
      <c r="D80" t="inlineStr">
        <is>
          <t>매매</t>
        </is>
      </c>
      <c r="E80" t="inlineStr">
        <is>
          <t>6억 1,000</t>
        </is>
      </c>
      <c r="F80" t="inlineStr">
        <is>
          <t>70/64m², 4/5층, 동향</t>
        </is>
      </c>
      <c r="G80" t="inlineStr">
        <is>
          <t>우정공인중개사사무소</t>
        </is>
      </c>
      <c r="H80">
        <f>HYPERLINK("https://new.land.naver.com/houses?ms=37.5344483,127.0831475,15&amp;a=VL:DDDGG:JWJT:SGJT:HOJT&amp;e=RETAIL&amp;articleNo=2133007757", "서울시 광진구 자양동 648-3")</f>
        <v/>
      </c>
    </row>
    <row r="81">
      <c r="A81" s="1" t="n">
        <v>0</v>
      </c>
      <c r="B81" t="inlineStr">
        <is>
          <t>서울시 광진구 자양동 614-6</t>
        </is>
      </c>
      <c r="C81" t="inlineStr">
        <is>
          <t>21.12.28.</t>
        </is>
      </c>
      <c r="D81" t="inlineStr">
        <is>
          <t>매매</t>
        </is>
      </c>
      <c r="E81" t="inlineStr">
        <is>
          <t>5억 3,000</t>
        </is>
      </c>
      <c r="F81" t="inlineStr">
        <is>
          <t>60/52m², 4/5층, 동향</t>
        </is>
      </c>
      <c r="G81" t="inlineStr">
        <is>
          <t>우정공인중개사사무소</t>
        </is>
      </c>
      <c r="H81">
        <f>HYPERLINK("https://new.land.naver.com/houses?ms=37.5344483,127.0831475,15&amp;a=VL:DDDGG:JWJT:SGJT:HOJT&amp;e=RETAIL&amp;articleNo=2134637858", "서울시 광진구 자양동 614-6")</f>
        <v/>
      </c>
    </row>
    <row r="82">
      <c r="A82" s="1" t="n">
        <v>0</v>
      </c>
      <c r="B82" t="inlineStr">
        <is>
          <t>서울시 광진구 자양동 651-31</t>
        </is>
      </c>
      <c r="C82" t="inlineStr">
        <is>
          <t>21.12.13.</t>
        </is>
      </c>
      <c r="D82" t="inlineStr">
        <is>
          <t>매매</t>
        </is>
      </c>
      <c r="E82" t="inlineStr">
        <is>
          <t>4억 2,000</t>
        </is>
      </c>
      <c r="F82" t="inlineStr">
        <is>
          <t>38/29m², 5/6층, 북향</t>
        </is>
      </c>
      <c r="G82" t="inlineStr">
        <is>
          <t>부경공인중개사사무소</t>
        </is>
      </c>
      <c r="H82">
        <f>HYPERLINK("https://new.land.naver.com/houses?ms=37.5344483,127.0831475,15&amp;a=VL:DDDGG:JWJT:SGJT:HOJT&amp;e=RETAIL&amp;articleNo=2133168816", "서울시 광진구 자양동 651-31")</f>
        <v/>
      </c>
    </row>
    <row r="83">
      <c r="A83" s="1" t="n">
        <v>0</v>
      </c>
      <c r="B83" t="inlineStr">
        <is>
          <t>서울시 광진구 자양동 637-41</t>
        </is>
      </c>
      <c r="C83" t="inlineStr">
        <is>
          <t>22.01.03.</t>
        </is>
      </c>
      <c r="D83" t="inlineStr">
        <is>
          <t>매매</t>
        </is>
      </c>
      <c r="E83" t="inlineStr">
        <is>
          <t>6억 1,000</t>
        </is>
      </c>
      <c r="F83" t="inlineStr">
        <is>
          <t>53/43m², 4/6층, 서향</t>
        </is>
      </c>
      <c r="G83" t="inlineStr">
        <is>
          <t>와우부동산공인중개사사무소</t>
        </is>
      </c>
      <c r="H83">
        <f>HYPERLINK("https://new.land.naver.com/houses?ms=37.5344483,127.0831475,15&amp;a=VL:DDDGG:JWJT:SGJT:HOJT&amp;e=RETAIL&amp;articleNo=2200113454", "서울시 광진구 자양동 637-41")</f>
        <v/>
      </c>
    </row>
    <row r="84">
      <c r="A84" s="1" t="n">
        <v>0</v>
      </c>
      <c r="B84" t="inlineStr">
        <is>
          <t>서울시 광진구 자양동 601-10</t>
        </is>
      </c>
      <c r="C84" t="inlineStr">
        <is>
          <t>21.12.13.</t>
        </is>
      </c>
      <c r="D84" t="inlineStr">
        <is>
          <t>전세</t>
        </is>
      </c>
      <c r="E84" t="inlineStr">
        <is>
          <t>4억 6,000</t>
        </is>
      </c>
      <c r="F84" t="inlineStr">
        <is>
          <t>66/66m², 3/5층, 남향</t>
        </is>
      </c>
      <c r="G84" t="inlineStr">
        <is>
          <t>부동산월드공인중개사사무소</t>
        </is>
      </c>
      <c r="H84">
        <f>HYPERLINK("https://new.land.naver.com/houses?ms=37.5344483,127.0831475,15&amp;a=VL:DDDGG:JWJT:SGJT:HOJT&amp;e=RETAIL&amp;articleNo=2133123843", "서울시 광진구 자양동 601-10")</f>
        <v/>
      </c>
    </row>
    <row r="85">
      <c r="A85" s="1" t="n">
        <v>0</v>
      </c>
      <c r="B85" t="inlineStr">
        <is>
          <t>서울시 광진구 자양동 639-13</t>
        </is>
      </c>
      <c r="C85" t="inlineStr">
        <is>
          <t>21.12.13.</t>
        </is>
      </c>
      <c r="D85" t="inlineStr">
        <is>
          <t>매매</t>
        </is>
      </c>
      <c r="E85" t="inlineStr">
        <is>
          <t>5억 9,000</t>
        </is>
      </c>
      <c r="F85" t="inlineStr">
        <is>
          <t>60/42m², 고/5층, 동향</t>
        </is>
      </c>
      <c r="G85" t="inlineStr">
        <is>
          <t>힘찬부동산공인중개사사무소</t>
        </is>
      </c>
      <c r="H85">
        <f>HYPERLINK("https://new.land.naver.com/houses?ms=37.5344483,127.0831475,15&amp;a=VL:DDDGG:JWJT:SGJT:HOJT&amp;e=RETAIL&amp;articleNo=2133071927", "서울시 광진구 자양동 639-13")</f>
        <v/>
      </c>
    </row>
    <row r="86">
      <c r="A86" s="1" t="n">
        <v>0</v>
      </c>
      <c r="B86" t="inlineStr">
        <is>
          <t>서울시 광진구 자양동 650-39</t>
        </is>
      </c>
      <c r="C86" t="inlineStr">
        <is>
          <t>21.12.06.</t>
        </is>
      </c>
      <c r="D86" t="inlineStr">
        <is>
          <t>매매</t>
        </is>
      </c>
      <c r="E86" t="inlineStr">
        <is>
          <t>2억 6,000</t>
        </is>
      </c>
      <c r="F86" t="inlineStr">
        <is>
          <t>38/34m², 2/2층, 북서향</t>
        </is>
      </c>
      <c r="G86" t="inlineStr">
        <is>
          <t>새우리공인중개사사무소</t>
        </is>
      </c>
      <c r="H86">
        <f>HYPERLINK("https://new.land.naver.com/houses?ms=37.5344483,127.0831475,15&amp;a=VL:DDDGG:JWJT:SGJT:HOJT&amp;e=RETAIL&amp;articleNo=2132250594", "서울시 광진구 자양동 650-39")</f>
        <v/>
      </c>
    </row>
    <row r="87">
      <c r="A87" s="1" t="n">
        <v>0</v>
      </c>
      <c r="B87" t="inlineStr">
        <is>
          <t>서울시 광진구 자양동 639-16</t>
        </is>
      </c>
      <c r="C87" t="inlineStr">
        <is>
          <t>21.12.06.</t>
        </is>
      </c>
      <c r="D87" t="inlineStr">
        <is>
          <t>전세</t>
        </is>
      </c>
      <c r="E87" t="inlineStr">
        <is>
          <t>5억</t>
        </is>
      </c>
      <c r="F87" t="inlineStr">
        <is>
          <t>65/60m², 저/4층, 동향</t>
        </is>
      </c>
      <c r="G87" t="inlineStr">
        <is>
          <t>하나공인중개사사무소</t>
        </is>
      </c>
      <c r="H87">
        <f>HYPERLINK("https://new.land.naver.com/houses?ms=37.5344483,127.0831475,15&amp;a=VL:DDDGG:JWJT:SGJT:HOJT&amp;e=RETAIL&amp;articleNo=2132268848", "서울시 광진구 자양동 639-16")</f>
        <v/>
      </c>
    </row>
    <row r="88">
      <c r="A88" s="1" t="n">
        <v>0</v>
      </c>
      <c r="B88" t="inlineStr">
        <is>
          <t>서울시 광진구 자양동 581-9</t>
        </is>
      </c>
      <c r="C88" t="inlineStr">
        <is>
          <t>22.01.03.</t>
        </is>
      </c>
      <c r="D88" t="inlineStr">
        <is>
          <t>매매</t>
        </is>
      </c>
      <c r="E88" t="inlineStr">
        <is>
          <t>25억</t>
        </is>
      </c>
      <c r="F88" t="inlineStr">
        <is>
          <t>168/335m², 6/0층, 북동향</t>
        </is>
      </c>
      <c r="G88" t="inlineStr">
        <is>
          <t>좋은공인중개사사무소</t>
        </is>
      </c>
      <c r="H88">
        <f>HYPERLINK("https://new.land.naver.com/houses?ms=37.5344483,127.0831475,15&amp;a=VL:DDDGG:JWJT:SGJT:HOJT&amp;e=RETAIL&amp;articleNo=2200102336", "서울시 광진구 자양동 581-9")</f>
        <v/>
      </c>
    </row>
    <row r="89">
      <c r="A89" s="1" t="n">
        <v>0</v>
      </c>
      <c r="B89" t="inlineStr">
        <is>
          <t>서울시 광진구 자양동 774-3</t>
        </is>
      </c>
      <c r="C89" t="inlineStr">
        <is>
          <t>21.12.11.</t>
        </is>
      </c>
      <c r="D89" t="inlineStr">
        <is>
          <t>매매</t>
        </is>
      </c>
      <c r="E89" t="inlineStr">
        <is>
          <t>5억 5,500</t>
        </is>
      </c>
      <c r="F89" t="inlineStr">
        <is>
          <t>68/48m², 고/6층, 서향</t>
        </is>
      </c>
      <c r="G89" t="inlineStr">
        <is>
          <t>엘에스부동산중개</t>
        </is>
      </c>
      <c r="H89">
        <f>HYPERLINK("https://new.land.naver.com/houses?ms=37.5344483,127.0831475,15&amp;a=VL:DDDGG:JWJT:SGJT:HOJT&amp;e=RETAIL&amp;articleNo=2132989594", "서울시 광진구 자양동 774-3")</f>
        <v/>
      </c>
    </row>
    <row r="90">
      <c r="A90" s="1" t="n">
        <v>0</v>
      </c>
      <c r="B90" t="inlineStr">
        <is>
          <t>서울시 광진구 자양동 833-17</t>
        </is>
      </c>
      <c r="C90" t="inlineStr">
        <is>
          <t>22.01.03.</t>
        </is>
      </c>
      <c r="D90" t="inlineStr">
        <is>
          <t>매매</t>
        </is>
      </c>
      <c r="E90" t="inlineStr">
        <is>
          <t>3억 4,000</t>
        </is>
      </c>
      <c r="F90" t="inlineStr">
        <is>
          <t>153/28m², 3/B1층, 남향</t>
        </is>
      </c>
      <c r="G90" t="inlineStr">
        <is>
          <t>행운부동산공인중개사사무소</t>
        </is>
      </c>
      <c r="H90">
        <f>HYPERLINK("https://new.land.naver.com/houses?ms=37.5344483,127.0831475,15&amp;a=VL:DDDGG:JWJT:SGJT:HOJT&amp;e=RETAIL&amp;articleNo=2200095676", "서울시 광진구 자양동 833-17")</f>
        <v/>
      </c>
    </row>
    <row r="91">
      <c r="A91" s="1" t="n">
        <v>0</v>
      </c>
      <c r="B91" t="inlineStr">
        <is>
          <t>서울시 광진구 자양동 651-37</t>
        </is>
      </c>
      <c r="C91" t="inlineStr">
        <is>
          <t>21.12.23.</t>
        </is>
      </c>
      <c r="D91" t="inlineStr">
        <is>
          <t>월세</t>
        </is>
      </c>
      <c r="E91" t="inlineStr">
        <is>
          <t>2,000/140</t>
        </is>
      </c>
      <c r="F91" t="inlineStr">
        <is>
          <t>32/24m², 6/6층, 북서향</t>
        </is>
      </c>
      <c r="G91" t="inlineStr">
        <is>
          <t>길공인중개사사무소</t>
        </is>
      </c>
      <c r="H91">
        <f>HYPERLINK("https://new.land.naver.com/houses?ms=37.5344483,127.0831475,15&amp;a=VL:DDDGG:JWJT:SGJT:HOJT&amp;e=RETAIL&amp;articleNo=2134268212", "서울시 광진구 자양동 651-37")</f>
        <v/>
      </c>
    </row>
    <row r="92">
      <c r="A92" s="1" t="n">
        <v>0</v>
      </c>
      <c r="B92" t="inlineStr">
        <is>
          <t>서울시 광진구 자양동 770-31</t>
        </is>
      </c>
      <c r="C92" t="inlineStr">
        <is>
          <t>21.12.09.</t>
        </is>
      </c>
      <c r="D92" t="inlineStr">
        <is>
          <t>월세</t>
        </is>
      </c>
      <c r="E92" t="inlineStr">
        <is>
          <t>3,000/55</t>
        </is>
      </c>
      <c r="F92" t="inlineStr">
        <is>
          <t>42/42m², 3/3층, 동향</t>
        </is>
      </c>
      <c r="G92" t="inlineStr">
        <is>
          <t>엘리트공인중개사사무소</t>
        </is>
      </c>
      <c r="H92">
        <f>HYPERLINK("https://new.land.naver.com/houses?ms=37.5344483,127.0831475,15&amp;a=VL:DDDGG:JWJT:SGJT:HOJT&amp;e=RETAIL&amp;articleNo=2132685185", "서울시 광진구 자양동 770-31")</f>
        <v/>
      </c>
    </row>
    <row r="93">
      <c r="A93" s="1" t="n">
        <v>0</v>
      </c>
      <c r="B93" t="inlineStr">
        <is>
          <t>서울시 광진구 자양동 57-106</t>
        </is>
      </c>
      <c r="C93" t="inlineStr">
        <is>
          <t>21.12.17.</t>
        </is>
      </c>
      <c r="D93" t="inlineStr">
        <is>
          <t>전세</t>
        </is>
      </c>
      <c r="E93" t="inlineStr">
        <is>
          <t>2억 4,500</t>
        </is>
      </c>
      <c r="F93" t="inlineStr">
        <is>
          <t>27/26m², 5/6층, 남향</t>
        </is>
      </c>
      <c r="G93" t="inlineStr">
        <is>
          <t>로얄공인중개사사무소</t>
        </is>
      </c>
      <c r="H93">
        <f>HYPERLINK("https://new.land.naver.com/houses?ms=37.5344483,127.0831475,15&amp;a=VL:DDDGG:JWJT:SGJT:HOJT&amp;e=RETAIL&amp;articleNo=2133685718", "서울시 광진구 자양동 57-106")</f>
        <v/>
      </c>
    </row>
    <row r="94">
      <c r="A94" s="1" t="n">
        <v>0</v>
      </c>
      <c r="B94" t="inlineStr">
        <is>
          <t>서울시 광진구 자양동 589-7</t>
        </is>
      </c>
      <c r="C94" t="inlineStr">
        <is>
          <t>22.01.03.</t>
        </is>
      </c>
      <c r="D94" t="inlineStr">
        <is>
          <t>전세</t>
        </is>
      </c>
      <c r="E94" t="inlineStr">
        <is>
          <t>2억 7,000</t>
        </is>
      </c>
      <c r="F94" t="inlineStr">
        <is>
          <t>32/27m², 5/7층, 서향</t>
        </is>
      </c>
      <c r="G94" t="inlineStr">
        <is>
          <t>영진부동산공인중개사사무소</t>
        </is>
      </c>
      <c r="H94">
        <f>HYPERLINK("https://new.land.naver.com/houses?ms=37.5344483,127.0831475,15&amp;a=VL:DDDGG:JWJT:SGJT:HOJT&amp;e=RETAIL&amp;articleNo=2200083253", "서울시 광진구 자양동 589-7")</f>
        <v/>
      </c>
    </row>
    <row r="95">
      <c r="A95" s="1" t="n">
        <v>0</v>
      </c>
      <c r="B95" t="inlineStr">
        <is>
          <t>서울시 광진구 자양동 238-15</t>
        </is>
      </c>
      <c r="C95" t="inlineStr">
        <is>
          <t>22.01.03.</t>
        </is>
      </c>
      <c r="D95" t="inlineStr">
        <is>
          <t>매매</t>
        </is>
      </c>
      <c r="E95" t="inlineStr">
        <is>
          <t>55억</t>
        </is>
      </c>
      <c r="F95" t="inlineStr">
        <is>
          <t>262/580m², 3/B1층, 남향</t>
        </is>
      </c>
      <c r="G95" t="inlineStr">
        <is>
          <t>강남에셋부동산중개법인</t>
        </is>
      </c>
      <c r="H95">
        <f>HYPERLINK("https://new.land.naver.com/houses?ms=37.5344483,127.0831475,15&amp;a=VL:DDDGG:JWJT:SGJT:HOJT&amp;e=RETAIL&amp;articleNo=2200081215", "서울시 광진구 자양동 238-15")</f>
        <v/>
      </c>
    </row>
    <row r="96">
      <c r="A96" s="1" t="n">
        <v>0</v>
      </c>
      <c r="B96" t="inlineStr">
        <is>
          <t>서울시 광진구 자양동 637-37</t>
        </is>
      </c>
      <c r="C96" t="inlineStr">
        <is>
          <t>21.12.30.</t>
        </is>
      </c>
      <c r="D96" t="inlineStr">
        <is>
          <t>월세</t>
        </is>
      </c>
      <c r="E96" t="inlineStr">
        <is>
          <t>1,000/35</t>
        </is>
      </c>
      <c r="F96" t="inlineStr">
        <is>
          <t>25/20m², 2/4층, 남서향</t>
        </is>
      </c>
      <c r="G96" t="inlineStr">
        <is>
          <t>새우리공인중개사사무소</t>
        </is>
      </c>
      <c r="H96">
        <f>HYPERLINK("https://new.land.naver.com/houses?ms=37.5344483,127.0831475,15&amp;a=VL:DDDGG:JWJT:SGJT:HOJT&amp;e=RETAIL&amp;articleNo=2134975234", "서울시 광진구 자양동 637-37")</f>
        <v/>
      </c>
    </row>
    <row r="97">
      <c r="A97" s="1" t="n">
        <v>0</v>
      </c>
      <c r="B97" t="inlineStr">
        <is>
          <t>서울시 광진구 자양동 13-40</t>
        </is>
      </c>
      <c r="C97" t="inlineStr">
        <is>
          <t>22.01.03.</t>
        </is>
      </c>
      <c r="D97" t="inlineStr">
        <is>
          <t>매매</t>
        </is>
      </c>
      <c r="E97" t="inlineStr">
        <is>
          <t>30억</t>
        </is>
      </c>
      <c r="F97" t="inlineStr">
        <is>
          <t>146/288m², 1/B5층, 남향</t>
        </is>
      </c>
      <c r="G97" t="inlineStr">
        <is>
          <t>황금부동산공인중개사사무소</t>
        </is>
      </c>
      <c r="H97">
        <f>HYPERLINK("https://new.land.naver.com/houses?ms=37.5344483,127.0831475,15&amp;a=VL:DDDGG:JWJT:SGJT:HOJT&amp;e=RETAIL&amp;articleNo=2200053022", "서울시 광진구 자양동 13-40")</f>
        <v/>
      </c>
    </row>
    <row r="98">
      <c r="A98" s="1" t="n">
        <v>0</v>
      </c>
      <c r="B98" t="inlineStr">
        <is>
          <t>서울시 광진구 자양동 227-166</t>
        </is>
      </c>
      <c r="C98" t="inlineStr">
        <is>
          <t>21.12.06.</t>
        </is>
      </c>
      <c r="D98" t="inlineStr">
        <is>
          <t>매매</t>
        </is>
      </c>
      <c r="E98" t="inlineStr">
        <is>
          <t>33억</t>
        </is>
      </c>
      <c r="F98" t="inlineStr">
        <is>
          <t>35/26m², 5/5층, 서향</t>
        </is>
      </c>
      <c r="G98" t="inlineStr">
        <is>
          <t>명문공인중개사사무소</t>
        </is>
      </c>
      <c r="H98">
        <f>HYPERLINK("https://new.land.naver.com/houses?ms=37.5344483,127.0831475,15&amp;a=VL:DDDGG:JWJT:SGJT:HOJT&amp;e=RETAIL&amp;articleNo=2132340156", "서울시 광진구 자양동 227-166")</f>
        <v/>
      </c>
    </row>
    <row r="99">
      <c r="A99" s="1" t="n">
        <v>0</v>
      </c>
      <c r="B99" t="inlineStr">
        <is>
          <t>서울시 광진구 자양동 229-16</t>
        </is>
      </c>
      <c r="C99" t="inlineStr">
        <is>
          <t>21.12.28.</t>
        </is>
      </c>
      <c r="D99" t="inlineStr">
        <is>
          <t>매매</t>
        </is>
      </c>
      <c r="E99" t="inlineStr">
        <is>
          <t>14억</t>
        </is>
      </c>
      <c r="F99" t="inlineStr">
        <is>
          <t>128/175m², 4/0층, 남동향</t>
        </is>
      </c>
      <c r="G99" t="inlineStr">
        <is>
          <t>부동산스타 공인중개사 사무소</t>
        </is>
      </c>
      <c r="H99">
        <f>HYPERLINK("https://new.land.naver.com/houses?ms=37.5344483,127.0831475,15&amp;a=VL:DDDGG:JWJT:SGJT:HOJT&amp;e=RETAIL&amp;articleNo=2134729769", "서울시 광진구 자양동 229-16")</f>
        <v/>
      </c>
    </row>
    <row r="100">
      <c r="A100" s="1" t="n">
        <v>0</v>
      </c>
      <c r="B100" t="inlineStr">
        <is>
          <t>서울시 광진구 자양동 586-1</t>
        </is>
      </c>
      <c r="C100" t="inlineStr">
        <is>
          <t>21.12.14.</t>
        </is>
      </c>
      <c r="D100" t="inlineStr">
        <is>
          <t>전세</t>
        </is>
      </c>
      <c r="E100" t="inlineStr">
        <is>
          <t>3억 5,000</t>
        </is>
      </c>
      <c r="F100" t="inlineStr">
        <is>
          <t>76/57m², 중/3층, 남동향</t>
        </is>
      </c>
      <c r="G100" t="inlineStr">
        <is>
          <t>어울림공인중개사사무소</t>
        </is>
      </c>
      <c r="H100">
        <f>HYPERLINK("https://new.land.naver.com/houses?ms=37.5344483,127.0831475,15&amp;a=VL:DDDGG:JWJT:SGJT:HOJT&amp;e=RETAIL&amp;articleNo=2133315990", "서울시 광진구 자양동 586-1")</f>
        <v/>
      </c>
    </row>
    <row r="101">
      <c r="A101" s="1" t="n">
        <v>0</v>
      </c>
      <c r="B101" t="inlineStr">
        <is>
          <t>서울시 광진구 자양동 621-10</t>
        </is>
      </c>
      <c r="C101" t="inlineStr">
        <is>
          <t>22.01.03.</t>
        </is>
      </c>
      <c r="D101" t="inlineStr">
        <is>
          <t>매매</t>
        </is>
      </c>
      <c r="E101" t="inlineStr">
        <is>
          <t>17억</t>
        </is>
      </c>
      <c r="F101" t="inlineStr">
        <is>
          <t>123/220m², 6/B1층, 남서향</t>
        </is>
      </c>
      <c r="G101" t="inlineStr">
        <is>
          <t>진짜공인중개사사무소</t>
        </is>
      </c>
      <c r="H101">
        <f>HYPERLINK("https://new.land.naver.com/houses?ms=37.5344483,127.0831475,15&amp;a=VL:DDDGG:JWJT:SGJT:HOJT&amp;e=RETAIL&amp;articleNo=2200002039", "서울시 광진구 자양동 621-10")</f>
        <v/>
      </c>
    </row>
    <row r="102">
      <c r="A102" s="1" t="n">
        <v>0</v>
      </c>
      <c r="B102" t="inlineStr">
        <is>
          <t>서울시 광진구 자양동 771-5</t>
        </is>
      </c>
      <c r="C102" t="inlineStr">
        <is>
          <t>22.01.03.</t>
        </is>
      </c>
      <c r="D102" t="inlineStr">
        <is>
          <t>월세</t>
        </is>
      </c>
      <c r="E102" t="inlineStr">
        <is>
          <t>2,000/60</t>
        </is>
      </c>
      <c r="F102" t="inlineStr">
        <is>
          <t>103/51m², 2/3층, 남서향</t>
        </is>
      </c>
      <c r="G102" t="inlineStr">
        <is>
          <t>정공인중개사사무소</t>
        </is>
      </c>
      <c r="H102">
        <f>HYPERLINK("https://new.land.naver.com/houses?ms=37.5344483,127.0831475,15&amp;a=VL:DDDGG:JWJT:SGJT:HOJT&amp;e=RETAIL&amp;articleNo=2135098975", "서울시 광진구 자양동 771-5")</f>
        <v/>
      </c>
    </row>
    <row r="103">
      <c r="A103" s="1" t="n">
        <v>0</v>
      </c>
      <c r="B103" t="inlineStr">
        <is>
          <t>서울시 광진구 자양동 610-36</t>
        </is>
      </c>
      <c r="C103" t="inlineStr">
        <is>
          <t>22.01.03.</t>
        </is>
      </c>
      <c r="D103" t="inlineStr">
        <is>
          <t>매매</t>
        </is>
      </c>
      <c r="E103" t="inlineStr">
        <is>
          <t>28억</t>
        </is>
      </c>
      <c r="F103" t="inlineStr">
        <is>
          <t>319/223m², 1/5층, 남동향</t>
        </is>
      </c>
      <c r="G103" t="inlineStr">
        <is>
          <t>조은공인중개사사무소</t>
        </is>
      </c>
      <c r="H103">
        <f>HYPERLINK("https://new.land.naver.com/houses?ms=37.5344483,127.0831475,15&amp;a=VL:DDDGG:JWJT:SGJT:HOJT&amp;e=RETAIL&amp;articleNo=2200120751", "서울시 광진구 자양동 610-36")</f>
        <v/>
      </c>
    </row>
    <row r="104">
      <c r="A104" s="1" t="n">
        <v>0</v>
      </c>
      <c r="B104" t="inlineStr">
        <is>
          <t>서울시 광진구 자양동 834-14</t>
        </is>
      </c>
      <c r="C104" t="inlineStr">
        <is>
          <t>21.12.10.</t>
        </is>
      </c>
      <c r="D104" t="inlineStr">
        <is>
          <t>전세</t>
        </is>
      </c>
      <c r="E104" t="inlineStr">
        <is>
          <t>2억 7,000</t>
        </is>
      </c>
      <c r="F104" t="inlineStr">
        <is>
          <t>49/29m², 5/6층, 남향</t>
        </is>
      </c>
      <c r="G104" t="inlineStr">
        <is>
          <t>OK공인중개사사무소</t>
        </is>
      </c>
      <c r="H104">
        <f>HYPERLINK("https://new.land.naver.com/houses?ms=37.5344483,127.0831475,15&amp;a=VL:DDDGG:JWJT:SGJT:HOJT&amp;e=RETAIL&amp;articleNo=2132910371", "서울시 광진구 자양동 834-14")</f>
        <v/>
      </c>
    </row>
    <row r="105">
      <c r="A105" s="1" t="n">
        <v>0</v>
      </c>
      <c r="B105" t="inlineStr">
        <is>
          <t>서울시 광진구 자양동 622-30</t>
        </is>
      </c>
      <c r="C105" t="inlineStr">
        <is>
          <t>22.01.03.</t>
        </is>
      </c>
      <c r="D105" t="inlineStr">
        <is>
          <t>전세</t>
        </is>
      </c>
      <c r="E105" t="inlineStr">
        <is>
          <t>2억 8,000</t>
        </is>
      </c>
      <c r="F105" t="inlineStr">
        <is>
          <t>34/28m², 고/6층, 남동향</t>
        </is>
      </c>
      <c r="G105" t="inlineStr">
        <is>
          <t>무궁화공인중개사사무소</t>
        </is>
      </c>
      <c r="H105">
        <f>HYPERLINK("https://new.land.naver.com/houses?ms=37.5344483,127.0831475,15&amp;a=VL:DDDGG:JWJT:SGJT:HOJT&amp;e=RETAIL&amp;articleNo=2200006395", "서울시 광진구 자양동 622-30")</f>
        <v/>
      </c>
    </row>
    <row r="106">
      <c r="A106" s="1" t="n">
        <v>0</v>
      </c>
      <c r="B106" t="inlineStr">
        <is>
          <t>서울시 광진구 자양동 667-35</t>
        </is>
      </c>
      <c r="C106" t="inlineStr">
        <is>
          <t>21.12.15.</t>
        </is>
      </c>
      <c r="D106" t="inlineStr">
        <is>
          <t>전세</t>
        </is>
      </c>
      <c r="E106" t="inlineStr">
        <is>
          <t>2억 7,000</t>
        </is>
      </c>
      <c r="F106" t="inlineStr">
        <is>
          <t>55/51m², 3/4층, 서향</t>
        </is>
      </c>
      <c r="G106" t="inlineStr">
        <is>
          <t>대원공인중개사사무소</t>
        </is>
      </c>
      <c r="H106">
        <f>HYPERLINK("https://new.land.naver.com/houses?ms=37.5344483,127.0831475,15&amp;a=VL:DDDGG:JWJT:SGJT:HOJT&amp;e=RETAIL&amp;articleNo=2133427775", "서울시 광진구 자양동 667-35")</f>
        <v/>
      </c>
    </row>
    <row r="107">
      <c r="A107" s="1" t="n">
        <v>0</v>
      </c>
      <c r="B107" t="inlineStr">
        <is>
          <t>서울시 광진구 자양동 643-38</t>
        </is>
      </c>
      <c r="C107" t="inlineStr">
        <is>
          <t>21.12.16.</t>
        </is>
      </c>
      <c r="D107" t="inlineStr">
        <is>
          <t>월세</t>
        </is>
      </c>
      <c r="E107" t="inlineStr">
        <is>
          <t>1,000/45</t>
        </is>
      </c>
      <c r="F107" t="inlineStr">
        <is>
          <t>34/34m², 2/4층, 남서향</t>
        </is>
      </c>
      <c r="G107" t="inlineStr">
        <is>
          <t>에덴부동산중개인사무소</t>
        </is>
      </c>
      <c r="H107">
        <f>HYPERLINK("https://new.land.naver.com/houses?ms=37.5344483,127.0831475,15&amp;a=VL:DDDGG:JWJT:SGJT:HOJT&amp;e=RETAIL&amp;articleNo=2133450536", "서울시 광진구 자양동 643-38")</f>
        <v/>
      </c>
    </row>
    <row r="108">
      <c r="A108" s="1" t="n">
        <v>0</v>
      </c>
      <c r="B108" t="inlineStr">
        <is>
          <t>서울시 광진구 자양동 639-5</t>
        </is>
      </c>
      <c r="C108" t="inlineStr">
        <is>
          <t>21.12.31.</t>
        </is>
      </c>
      <c r="D108" t="inlineStr">
        <is>
          <t>매매</t>
        </is>
      </c>
      <c r="E108" t="inlineStr">
        <is>
          <t>22억 5,000</t>
        </is>
      </c>
      <c r="F108" t="inlineStr">
        <is>
          <t>131/239m², 4/B1층, 서향</t>
        </is>
      </c>
      <c r="G108" t="inlineStr">
        <is>
          <t>박사부동산공인중개사사무소</t>
        </is>
      </c>
      <c r="H108">
        <f>HYPERLINK("https://new.land.naver.com/houses?ms=37.5344483,127.0831475,15&amp;a=VL:DDDGG:JWJT:SGJT:HOJT&amp;e=RETAIL&amp;articleNo=2134996585", "서울시 광진구 자양동 639-5")</f>
        <v/>
      </c>
    </row>
    <row r="109">
      <c r="A109" s="1" t="n">
        <v>0</v>
      </c>
      <c r="B109" t="inlineStr">
        <is>
          <t>서울시 광진구 자양동 663-10</t>
        </is>
      </c>
      <c r="C109" t="inlineStr">
        <is>
          <t>21.12.22.</t>
        </is>
      </c>
      <c r="D109" t="inlineStr">
        <is>
          <t>전세</t>
        </is>
      </c>
      <c r="E109" t="inlineStr">
        <is>
          <t>2억</t>
        </is>
      </c>
      <c r="F109" t="inlineStr">
        <is>
          <t>45/38m², 5/5층, 동향</t>
        </is>
      </c>
      <c r="G109" t="inlineStr">
        <is>
          <t>부동산뉴스공인중개사사무소</t>
        </is>
      </c>
      <c r="H109">
        <f>HYPERLINK("https://new.land.naver.com/houses?ms=37.5344483,127.0831475,15&amp;a=VL:DDDGG:JWJT:SGJT:HOJT&amp;e=RETAIL&amp;articleNo=2134164988", "서울시 광진구 자양동 663-10")</f>
        <v/>
      </c>
    </row>
    <row r="110">
      <c r="A110" s="1" t="n">
        <v>0</v>
      </c>
      <c r="B110" t="inlineStr">
        <is>
          <t>서울시 광진구 자양동 193-29</t>
        </is>
      </c>
      <c r="C110" t="inlineStr">
        <is>
          <t>21.12.15.</t>
        </is>
      </c>
      <c r="D110" t="inlineStr">
        <is>
          <t>전세</t>
        </is>
      </c>
      <c r="E110" t="inlineStr">
        <is>
          <t>1억 2,000</t>
        </is>
      </c>
      <c r="F110" t="inlineStr">
        <is>
          <t>19/16m², 3/4층, 북서향</t>
        </is>
      </c>
      <c r="G110" t="inlineStr">
        <is>
          <t>주식회사집토스직영부동산중개법인(분사무소)</t>
        </is>
      </c>
      <c r="H110">
        <f>HYPERLINK("https://new.land.naver.com/houses?ms=37.5344483,127.0831475,15&amp;a=VL:DDDGG:JWJT:SGJT:HOJT&amp;e=RETAIL&amp;articleNo=2133362558", "서울시 광진구 자양동 193-29")</f>
        <v/>
      </c>
    </row>
    <row r="111">
      <c r="A111" s="1" t="n">
        <v>0</v>
      </c>
      <c r="B111" t="inlineStr">
        <is>
          <t>서울시 광진구 자양동 647-9</t>
        </is>
      </c>
      <c r="C111" t="inlineStr">
        <is>
          <t>21.12.07.</t>
        </is>
      </c>
      <c r="D111" t="inlineStr">
        <is>
          <t>전세</t>
        </is>
      </c>
      <c r="E111" t="inlineStr">
        <is>
          <t>2억</t>
        </is>
      </c>
      <c r="F111" t="inlineStr">
        <is>
          <t>44/36m², 3/4층, 남서향</t>
        </is>
      </c>
      <c r="G111" t="inlineStr">
        <is>
          <t>부경공인중개사사무소</t>
        </is>
      </c>
      <c r="H111">
        <f>HYPERLINK("https://new.land.naver.com/houses?ms=37.5344483,127.0831475,15&amp;a=VL:DDDGG:JWJT:SGJT:HOJT&amp;e=RETAIL&amp;articleNo=2132477828", "서울시 광진구 자양동 647-9")</f>
        <v/>
      </c>
    </row>
    <row r="112">
      <c r="A112" s="1" t="n">
        <v>0</v>
      </c>
      <c r="B112" t="inlineStr">
        <is>
          <t>서울시 광진구 자양동 605-22</t>
        </is>
      </c>
      <c r="C112" t="inlineStr">
        <is>
          <t>21.12.13.</t>
        </is>
      </c>
      <c r="D112" t="inlineStr">
        <is>
          <t>매매</t>
        </is>
      </c>
      <c r="E112" t="inlineStr">
        <is>
          <t>20억</t>
        </is>
      </c>
      <c r="F112" t="inlineStr">
        <is>
          <t>173/366m², 3/B1층, 동향</t>
        </is>
      </c>
      <c r="G112" t="inlineStr">
        <is>
          <t>엘리트공인중개사사무소</t>
        </is>
      </c>
      <c r="H112">
        <f>HYPERLINK("https://new.land.naver.com/houses?ms=37.5344483,127.0831475,15&amp;a=VL:DDDGG:JWJT:SGJT:HOJT&amp;e=RETAIL&amp;articleNo=2133047514", "서울시 광진구 자양동 605-22")</f>
        <v/>
      </c>
    </row>
    <row r="113">
      <c r="A113" s="1" t="n">
        <v>0</v>
      </c>
      <c r="B113" t="inlineStr">
        <is>
          <t>서울시 광진구 자양동 658-8</t>
        </is>
      </c>
      <c r="C113" t="inlineStr">
        <is>
          <t>21.12.27.</t>
        </is>
      </c>
      <c r="D113" t="inlineStr">
        <is>
          <t>매매</t>
        </is>
      </c>
      <c r="E113" t="inlineStr">
        <is>
          <t>2억</t>
        </is>
      </c>
      <c r="F113" t="inlineStr">
        <is>
          <t>27/23m², 5/5층, 동향</t>
        </is>
      </c>
      <c r="G113" t="inlineStr">
        <is>
          <t>우정공인중개사사무소</t>
        </is>
      </c>
      <c r="H113">
        <f>HYPERLINK("https://new.land.naver.com/houses?ms=37.5344483,127.0831475,15&amp;a=VL:DDDGG:JWJT:SGJT:HOJT&amp;e=RETAIL&amp;articleNo=2134525266", "서울시 광진구 자양동 658-8")</f>
        <v/>
      </c>
    </row>
    <row r="114">
      <c r="A114" s="1" t="n">
        <v>0</v>
      </c>
      <c r="B114" t="inlineStr">
        <is>
          <t>서울시 광진구 자양동 633-10</t>
        </is>
      </c>
      <c r="C114" t="inlineStr">
        <is>
          <t>21.12.31.</t>
        </is>
      </c>
      <c r="D114" t="inlineStr">
        <is>
          <t>전세</t>
        </is>
      </c>
      <c r="E114" t="inlineStr">
        <is>
          <t>1억 4,000</t>
        </is>
      </c>
      <c r="F114" t="inlineStr">
        <is>
          <t>106/53m², B1/3층, 남동향</t>
        </is>
      </c>
      <c r="G114" t="inlineStr">
        <is>
          <t>와우부동산공인중개사사무소</t>
        </is>
      </c>
      <c r="H114">
        <f>HYPERLINK("https://new.land.naver.com/houses?ms=37.5344483,127.0831475,15&amp;a=VL:DDDGG:JWJT:SGJT:HOJT&amp;e=RETAIL&amp;articleNo=2135068180", "서울시 광진구 자양동 633-10")</f>
        <v/>
      </c>
    </row>
    <row r="115">
      <c r="A115" s="1" t="n">
        <v>0</v>
      </c>
      <c r="B115" t="inlineStr">
        <is>
          <t>서울시 광진구 자양동 842-7</t>
        </is>
      </c>
      <c r="C115" t="inlineStr">
        <is>
          <t>21.12.08.</t>
        </is>
      </c>
      <c r="D115" t="inlineStr">
        <is>
          <t>전세</t>
        </is>
      </c>
      <c r="E115" t="inlineStr">
        <is>
          <t>3억</t>
        </is>
      </c>
      <c r="F115" t="inlineStr">
        <is>
          <t>39/29m², 저/6층, 남향</t>
        </is>
      </c>
      <c r="G115" t="inlineStr">
        <is>
          <t>왕부동산공인중개사사무소</t>
        </is>
      </c>
      <c r="H115">
        <f>HYPERLINK("https://new.land.naver.com/houses?ms=37.5344483,127.0831475,15&amp;a=VL:DDDGG:JWJT:SGJT:HOJT&amp;e=RETAIL&amp;articleNo=2132598833", "서울시 광진구 자양동 842-7")</f>
        <v/>
      </c>
    </row>
    <row r="116">
      <c r="A116" s="1" t="n">
        <v>0</v>
      </c>
      <c r="B116" t="inlineStr">
        <is>
          <t>서울시 광진구 자양동 195-8</t>
        </is>
      </c>
      <c r="C116" t="inlineStr">
        <is>
          <t>21.12.16.</t>
        </is>
      </c>
      <c r="D116" t="inlineStr">
        <is>
          <t>전세</t>
        </is>
      </c>
      <c r="E116" t="inlineStr">
        <is>
          <t>1억 9,000</t>
        </is>
      </c>
      <c r="F116" t="inlineStr">
        <is>
          <t>34/25m², 1/4층, 남동향</t>
        </is>
      </c>
      <c r="G116" t="inlineStr">
        <is>
          <t>선명부동산공인중개사사무소</t>
        </is>
      </c>
      <c r="H116">
        <f>HYPERLINK("https://new.land.naver.com/houses?ms=37.5344483,127.0831475,15&amp;a=VL:DDDGG:JWJT:SGJT:HOJT&amp;e=RETAIL&amp;articleNo=2133574509", "서울시 광진구 자양동 195-8")</f>
        <v/>
      </c>
    </row>
    <row r="117">
      <c r="A117" s="1" t="n">
        <v>0</v>
      </c>
      <c r="B117" t="inlineStr">
        <is>
          <t>서울시 광진구 자양동 225-90</t>
        </is>
      </c>
      <c r="C117" t="inlineStr">
        <is>
          <t>21.12.09.</t>
        </is>
      </c>
      <c r="D117" t="inlineStr">
        <is>
          <t>전세</t>
        </is>
      </c>
      <c r="E117" t="inlineStr">
        <is>
          <t>3억 8,000</t>
        </is>
      </c>
      <c r="F117" t="inlineStr">
        <is>
          <t>66/66m², 3/4층, 남향</t>
        </is>
      </c>
      <c r="G117" t="inlineStr">
        <is>
          <t>영신공인중개사사무소</t>
        </is>
      </c>
      <c r="H117">
        <f>HYPERLINK("https://new.land.naver.com/houses?ms=37.5344483,127.0831475,15&amp;a=VL:DDDGG:JWJT:SGJT:HOJT&amp;e=RETAIL&amp;articleNo=2132694682", "서울시 광진구 자양동 225-90")</f>
        <v/>
      </c>
    </row>
    <row r="118">
      <c r="A118" s="1" t="n">
        <v>0</v>
      </c>
      <c r="B118" t="inlineStr">
        <is>
          <t>서울시 광진구 자양동 225-51</t>
        </is>
      </c>
      <c r="C118" t="inlineStr">
        <is>
          <t>21.12.09.</t>
        </is>
      </c>
      <c r="D118" t="inlineStr">
        <is>
          <t>매매</t>
        </is>
      </c>
      <c r="E118" t="inlineStr">
        <is>
          <t>49억</t>
        </is>
      </c>
      <c r="F118" t="inlineStr">
        <is>
          <t>392/1219m², 1/0층, 북동향</t>
        </is>
      </c>
      <c r="G118" t="inlineStr">
        <is>
          <t>국민마트부동산공인중개사사무소</t>
        </is>
      </c>
      <c r="H118">
        <f>HYPERLINK("https://new.land.naver.com/houses?ms=37.5344483,127.0831475,15&amp;a=VL:DDDGG:JWJT:SGJT:HOJT&amp;e=RETAIL&amp;articleNo=2132782012", "서울시 광진구 자양동 225-51")</f>
        <v/>
      </c>
    </row>
    <row r="119">
      <c r="A119" s="1" t="n">
        <v>0</v>
      </c>
      <c r="B119" t="inlineStr">
        <is>
          <t>서울시 광진구 자양동 612-42</t>
        </is>
      </c>
      <c r="C119" t="inlineStr">
        <is>
          <t>21.12.09.</t>
        </is>
      </c>
      <c r="D119" t="inlineStr">
        <is>
          <t>매매</t>
        </is>
      </c>
      <c r="E119" t="inlineStr">
        <is>
          <t>28억 5,000</t>
        </is>
      </c>
      <c r="F119" t="inlineStr">
        <is>
          <t>171/391m², 4/B1층, 남동향</t>
        </is>
      </c>
      <c r="G119" t="inlineStr">
        <is>
          <t>부동산스타 공인중개사 사무소</t>
        </is>
      </c>
      <c r="H119">
        <f>HYPERLINK("https://new.land.naver.com/houses?ms=37.5344483,127.0831475,15&amp;a=VL:DDDGG:JWJT:SGJT:HOJT&amp;e=RETAIL&amp;articleNo=2132774574", "서울시 광진구 자양동 612-42")</f>
        <v/>
      </c>
    </row>
    <row r="120">
      <c r="A120" s="1" t="n">
        <v>0</v>
      </c>
      <c r="B120" t="inlineStr">
        <is>
          <t>서울시 광진구 자양동 657-12</t>
        </is>
      </c>
      <c r="C120" t="inlineStr">
        <is>
          <t>21.12.16.</t>
        </is>
      </c>
      <c r="D120" t="inlineStr">
        <is>
          <t>월세</t>
        </is>
      </c>
      <c r="E120" t="inlineStr">
        <is>
          <t>8,000/100</t>
        </is>
      </c>
      <c r="F120" t="inlineStr">
        <is>
          <t>69/68m², 2/3층, 남향</t>
        </is>
      </c>
      <c r="G120" t="inlineStr">
        <is>
          <t>와우부동산공인중개사사무소</t>
        </is>
      </c>
      <c r="H120">
        <f>HYPERLINK("https://new.land.naver.com/houses?ms=37.5344483,127.0831475,15&amp;a=VL:DDDGG:JWJT:SGJT:HOJT&amp;e=RETAIL&amp;articleNo=2133562719", "서울시 광진구 자양동 657-12")</f>
        <v/>
      </c>
    </row>
    <row r="121">
      <c r="A121" s="1" t="n">
        <v>0</v>
      </c>
      <c r="B121" t="inlineStr">
        <is>
          <t>서울시 광진구 자양동 225-26</t>
        </is>
      </c>
      <c r="C121" t="inlineStr">
        <is>
          <t>21.12.15.</t>
        </is>
      </c>
      <c r="D121" t="inlineStr">
        <is>
          <t>매매</t>
        </is>
      </c>
      <c r="E121" t="inlineStr">
        <is>
          <t>5억</t>
        </is>
      </c>
      <c r="F121" t="inlineStr">
        <is>
          <t>88/57m², 3/4층, 남동향</t>
        </is>
      </c>
      <c r="G121" t="inlineStr">
        <is>
          <t>우리부동산공인중개사사무소</t>
        </is>
      </c>
      <c r="H121">
        <f>HYPERLINK("https://new.land.naver.com/houses?ms=37.5344483,127.0831475,15&amp;a=VL:DDDGG:JWJT:SGJT:HOJT&amp;e=RETAIL&amp;articleNo=2133400885", "서울시 광진구 자양동 225-26")</f>
        <v/>
      </c>
    </row>
    <row r="122">
      <c r="A122" s="1" t="n">
        <v>0</v>
      </c>
      <c r="B122" t="inlineStr">
        <is>
          <t>서울시 광진구 자양동 622-19</t>
        </is>
      </c>
      <c r="C122" t="inlineStr">
        <is>
          <t>21.12.31.</t>
        </is>
      </c>
      <c r="D122" t="inlineStr">
        <is>
          <t>월세</t>
        </is>
      </c>
      <c r="E122" t="inlineStr">
        <is>
          <t>1,500/29</t>
        </is>
      </c>
      <c r="F122" t="inlineStr">
        <is>
          <t>22/21m², 1/3층, 북서향</t>
        </is>
      </c>
      <c r="G122" t="inlineStr">
        <is>
          <t>윤공인중개사사무소</t>
        </is>
      </c>
      <c r="H122">
        <f>HYPERLINK("https://new.land.naver.com/houses?ms=37.5344483,127.0831475,15&amp;a=VL:DDDGG:JWJT:SGJT:HOJT&amp;e=RETAIL&amp;articleNo=2134980828", "서울시 광진구 자양동 622-19")</f>
        <v/>
      </c>
    </row>
    <row r="123">
      <c r="A123" s="1" t="n">
        <v>0</v>
      </c>
      <c r="B123" t="inlineStr">
        <is>
          <t>서울시 광진구 자양동 628-11</t>
        </is>
      </c>
      <c r="C123" t="inlineStr">
        <is>
          <t>21.12.31.</t>
        </is>
      </c>
      <c r="D123" t="inlineStr">
        <is>
          <t>월세</t>
        </is>
      </c>
      <c r="E123" t="inlineStr">
        <is>
          <t>1,000/30</t>
        </is>
      </c>
      <c r="F123" t="inlineStr">
        <is>
          <t>46/42m², 중/4층, 북서향</t>
        </is>
      </c>
      <c r="G123" t="inlineStr">
        <is>
          <t>와우부동산공인중개사사무소</t>
        </is>
      </c>
      <c r="H123">
        <f>HYPERLINK("https://new.land.naver.com/houses?ms=37.5344483,127.0831475,15&amp;a=VL:DDDGG:JWJT:SGJT:HOJT&amp;e=RETAIL&amp;articleNo=2135091996", "서울시 광진구 자양동 628-11")</f>
        <v/>
      </c>
    </row>
    <row r="124">
      <c r="A124" s="1" t="n">
        <v>0</v>
      </c>
      <c r="B124" t="inlineStr">
        <is>
          <t>서울시 광진구 자양동 474-3</t>
        </is>
      </c>
      <c r="C124" t="inlineStr">
        <is>
          <t>22.01.03.</t>
        </is>
      </c>
      <c r="D124" t="inlineStr">
        <is>
          <t>매매</t>
        </is>
      </c>
      <c r="E124" t="inlineStr">
        <is>
          <t>14억</t>
        </is>
      </c>
      <c r="F124" t="inlineStr">
        <is>
          <t>76/63m², 1/4층, 동향</t>
        </is>
      </c>
      <c r="G124" t="inlineStr">
        <is>
          <t>뉴시티공인중개사사무소</t>
        </is>
      </c>
      <c r="H124">
        <f>HYPERLINK("https://new.land.naver.com/houses?ms=37.5344483,127.0831475,15&amp;a=VL:DDDGG:JWJT:SGJT:HOJT&amp;e=RETAIL&amp;articleNo=2200036627", "서울시 광진구 자양동 474-3")</f>
        <v/>
      </c>
    </row>
    <row r="125">
      <c r="A125" s="1" t="n">
        <v>0</v>
      </c>
      <c r="B125" t="inlineStr">
        <is>
          <t>서울시 광진구 자양동 48-14</t>
        </is>
      </c>
      <c r="C125" t="inlineStr">
        <is>
          <t>21.12.31.</t>
        </is>
      </c>
      <c r="D125" t="inlineStr">
        <is>
          <t>매매</t>
        </is>
      </c>
      <c r="E125" t="inlineStr">
        <is>
          <t>21억 6,000</t>
        </is>
      </c>
      <c r="F125" t="inlineStr">
        <is>
          <t>143/193m², 2/B1층, 남향</t>
        </is>
      </c>
      <c r="G125" t="inlineStr">
        <is>
          <t>현진공인중개사</t>
        </is>
      </c>
      <c r="H125">
        <f>HYPERLINK("https://new.land.naver.com/houses?ms=37.5344483,127.0831475,15&amp;a=VL:DDDGG:JWJT:SGJT:HOJT&amp;e=RETAIL&amp;articleNo=2135057599", "서울시 광진구 자양동 48-14")</f>
        <v/>
      </c>
    </row>
    <row r="126">
      <c r="A126" s="1" t="n">
        <v>0</v>
      </c>
      <c r="B126" t="inlineStr">
        <is>
          <t>서울시 광진구 자양동 227-60</t>
        </is>
      </c>
      <c r="C126" t="inlineStr">
        <is>
          <t>21.12.20.</t>
        </is>
      </c>
      <c r="D126" t="inlineStr">
        <is>
          <t>매매</t>
        </is>
      </c>
      <c r="E126" t="inlineStr">
        <is>
          <t>4억 2,000</t>
        </is>
      </c>
      <c r="F126" t="inlineStr">
        <is>
          <t>53/40m², 6/6층, 서향</t>
        </is>
      </c>
      <c r="G126" t="inlineStr">
        <is>
          <t>더미소부동산공인중개사사무소</t>
        </is>
      </c>
      <c r="H126">
        <f>HYPERLINK("https://new.land.naver.com/houses?ms=37.5344483,127.0831475,15&amp;a=VL:DDDGG:JWJT:SGJT:HOJT&amp;e=RETAIL&amp;articleNo=2133811076", "서울시 광진구 자양동 227-60")</f>
        <v/>
      </c>
    </row>
    <row r="127">
      <c r="A127" s="1" t="n">
        <v>0</v>
      </c>
      <c r="B127" t="inlineStr">
        <is>
          <t>서울시 광진구 자양동 665-11</t>
        </is>
      </c>
      <c r="C127" t="inlineStr">
        <is>
          <t>21.12.10.</t>
        </is>
      </c>
      <c r="D127" t="inlineStr">
        <is>
          <t>월세</t>
        </is>
      </c>
      <c r="E127" t="inlineStr">
        <is>
          <t>3,000/90</t>
        </is>
      </c>
      <c r="F127" t="inlineStr">
        <is>
          <t>96/79m², 2/4층, 남향</t>
        </is>
      </c>
      <c r="G127" t="inlineStr">
        <is>
          <t>부동산뉴스공인중개사</t>
        </is>
      </c>
      <c r="H127">
        <f>HYPERLINK("https://new.land.naver.com/houses?ms=37.5344483,127.0831475,15&amp;a=VL:DDDGG:JWJT:SGJT:HOJT&amp;e=RETAIL&amp;articleNo=2132948650", "서울시 광진구 자양동 665-11")</f>
        <v/>
      </c>
    </row>
    <row r="128">
      <c r="A128" s="1" t="n">
        <v>0</v>
      </c>
      <c r="B128" t="inlineStr">
        <is>
          <t>서울시 광진구 자양동 640-12</t>
        </is>
      </c>
      <c r="C128" t="inlineStr">
        <is>
          <t>21.12.30.</t>
        </is>
      </c>
      <c r="D128" t="inlineStr">
        <is>
          <t>월세</t>
        </is>
      </c>
      <c r="E128" t="inlineStr">
        <is>
          <t>1,000/30</t>
        </is>
      </c>
      <c r="F128" t="inlineStr">
        <is>
          <t>34/34m², B1/2층, 남향</t>
        </is>
      </c>
      <c r="G128" t="inlineStr">
        <is>
          <t>부동산신화공인중개사</t>
        </is>
      </c>
      <c r="H128">
        <f>HYPERLINK("https://new.land.naver.com/houses?ms=37.5344483,127.0831475,15&amp;a=VL:DDDGG:JWJT:SGJT:HOJT&amp;e=RETAIL&amp;articleNo=2134858679", "서울시 광진구 자양동 640-12")</f>
        <v/>
      </c>
    </row>
    <row r="129">
      <c r="A129" s="1" t="n">
        <v>0</v>
      </c>
      <c r="B129" t="inlineStr">
        <is>
          <t>서울시 광진구 자양동 57-3</t>
        </is>
      </c>
      <c r="C129" t="inlineStr">
        <is>
          <t>21.12.30.</t>
        </is>
      </c>
      <c r="D129" t="inlineStr">
        <is>
          <t>월세</t>
        </is>
      </c>
      <c r="E129" t="inlineStr">
        <is>
          <t>2억/100</t>
        </is>
      </c>
      <c r="F129" t="inlineStr">
        <is>
          <t>90/90m², 1/2층, 남동향</t>
        </is>
      </c>
      <c r="G129" t="inlineStr">
        <is>
          <t>한강공인중개사사무소</t>
        </is>
      </c>
      <c r="H129">
        <f>HYPERLINK("https://new.land.naver.com/houses?ms=37.5344483,127.0831475,15&amp;a=VL:DDDGG:JWJT:SGJT:HOJT&amp;e=RETAIL&amp;articleNo=2134959728", "서울시 광진구 자양동 57-3")</f>
        <v/>
      </c>
    </row>
    <row r="130">
      <c r="A130" s="1" t="n">
        <v>0</v>
      </c>
      <c r="B130" t="inlineStr">
        <is>
          <t>서울시 광진구 자양동 47-10</t>
        </is>
      </c>
      <c r="C130" t="inlineStr">
        <is>
          <t>21.12.10.</t>
        </is>
      </c>
      <c r="D130" t="inlineStr">
        <is>
          <t>전세</t>
        </is>
      </c>
      <c r="E130" t="inlineStr">
        <is>
          <t>2억 7,000</t>
        </is>
      </c>
      <c r="F130" t="inlineStr">
        <is>
          <t>45/45m², 1/2층, 남향</t>
        </is>
      </c>
      <c r="G130" t="inlineStr">
        <is>
          <t>혜성공인중개사사무소</t>
        </is>
      </c>
      <c r="H130">
        <f>HYPERLINK("https://new.land.naver.com/houses?ms=37.5344483,127.0831475,15&amp;a=VL:DDDGG:JWJT:SGJT:HOJT&amp;e=RETAIL&amp;articleNo=2132930397", "서울시 광진구 자양동 47-10")</f>
        <v/>
      </c>
    </row>
    <row r="131">
      <c r="A131" s="1" t="n">
        <v>0</v>
      </c>
      <c r="B131" t="inlineStr">
        <is>
          <t>서울시 광진구 자양동 661</t>
        </is>
      </c>
      <c r="C131" t="inlineStr">
        <is>
          <t>22.01.04.</t>
        </is>
      </c>
      <c r="D131" t="inlineStr">
        <is>
          <t>전세</t>
        </is>
      </c>
      <c r="E131" t="inlineStr">
        <is>
          <t>2억</t>
        </is>
      </c>
      <c r="F131" t="inlineStr">
        <is>
          <t>48/48m², 3/5층, 남향</t>
        </is>
      </c>
      <c r="G131" t="inlineStr">
        <is>
          <t>새롬공인중개사사무소</t>
        </is>
      </c>
      <c r="H131">
        <f>HYPERLINK("https://new.land.naver.com/houses?ms=37.5344483,127.0831475,15&amp;a=VL:DDDGG:JWJT:SGJT:HOJT&amp;e=RETAIL&amp;articleNo=2200275724", "서울시 광진구 자양동 661")</f>
        <v/>
      </c>
    </row>
    <row r="132">
      <c r="A132" s="1" t="n">
        <v>0</v>
      </c>
      <c r="B132" t="inlineStr">
        <is>
          <t>서울시 광진구 자양동 667-2</t>
        </is>
      </c>
      <c r="C132" t="inlineStr">
        <is>
          <t>22.01.03.</t>
        </is>
      </c>
      <c r="D132" t="inlineStr">
        <is>
          <t>매매</t>
        </is>
      </c>
      <c r="E132" t="inlineStr">
        <is>
          <t>8억 5,000</t>
        </is>
      </c>
      <c r="F132" t="inlineStr">
        <is>
          <t>158/98m², 4/4층, 남향</t>
        </is>
      </c>
      <c r="G132" t="inlineStr">
        <is>
          <t>중앙공인중개사사무소</t>
        </is>
      </c>
      <c r="H132">
        <f>HYPERLINK("https://new.land.naver.com/houses?ms=37.5344483,127.0831475,15&amp;a=VL:DDDGG:JWJT:SGJT:HOJT&amp;e=RETAIL&amp;articleNo=2200198737", "서울시 광진구 자양동 667-2")</f>
        <v/>
      </c>
    </row>
    <row r="133">
      <c r="A133" s="1" t="n">
        <v>0</v>
      </c>
      <c r="B133" t="inlineStr">
        <is>
          <t>서울시 광진구 자양동 589-19</t>
        </is>
      </c>
      <c r="C133" t="inlineStr">
        <is>
          <t>21.12.10.</t>
        </is>
      </c>
      <c r="D133" t="inlineStr">
        <is>
          <t>매매</t>
        </is>
      </c>
      <c r="E133" t="inlineStr">
        <is>
          <t>3억</t>
        </is>
      </c>
      <c r="F133" t="inlineStr">
        <is>
          <t>43/38m², B1/2층, 남서향</t>
        </is>
      </c>
      <c r="G133" t="inlineStr">
        <is>
          <t>새우리공인중개사사무소</t>
        </is>
      </c>
      <c r="H133">
        <f>HYPERLINK("https://new.land.naver.com/houses?ms=37.5344483,127.0831475,15&amp;a=VL:DDDGG:JWJT:SGJT:HOJT&amp;e=RETAIL&amp;articleNo=2132822316", "서울시 광진구 자양동 589-19")</f>
        <v/>
      </c>
    </row>
    <row r="134">
      <c r="A134" s="1" t="n">
        <v>0</v>
      </c>
      <c r="B134" t="inlineStr">
        <is>
          <t>서울시 광진구 자양동 603-20</t>
        </is>
      </c>
      <c r="C134" t="inlineStr">
        <is>
          <t>21.12.23.</t>
        </is>
      </c>
      <c r="D134" t="inlineStr">
        <is>
          <t>월세</t>
        </is>
      </c>
      <c r="E134" t="inlineStr">
        <is>
          <t>3,000/85</t>
        </is>
      </c>
      <c r="F134" t="inlineStr">
        <is>
          <t>48/43m², 2/5층, 남서향</t>
        </is>
      </c>
      <c r="G134" t="inlineStr">
        <is>
          <t>새우리공인중개사사무소</t>
        </is>
      </c>
      <c r="H134">
        <f>HYPERLINK("https://new.land.naver.com/houses?ms=37.5344483,127.0831475,15&amp;a=VL:DDDGG:JWJT:SGJT:HOJT&amp;e=RETAIL&amp;articleNo=2134198666", "서울시 광진구 자양동 603-20")</f>
        <v/>
      </c>
    </row>
    <row r="135">
      <c r="A135" s="1" t="n">
        <v>0</v>
      </c>
      <c r="B135" t="inlineStr">
        <is>
          <t>서울시 광진구 자양동 225-40</t>
        </is>
      </c>
      <c r="C135" t="inlineStr">
        <is>
          <t>21.12.30.</t>
        </is>
      </c>
      <c r="D135" t="inlineStr">
        <is>
          <t>월세</t>
        </is>
      </c>
      <c r="E135" t="inlineStr">
        <is>
          <t>1,000/35</t>
        </is>
      </c>
      <c r="F135" t="inlineStr">
        <is>
          <t>34/34m², B1/2층, 북향</t>
        </is>
      </c>
      <c r="G135" t="inlineStr">
        <is>
          <t>뉴엘리트공인중개사사무소</t>
        </is>
      </c>
      <c r="H135">
        <f>HYPERLINK("https://new.land.naver.com/houses?ms=37.5344483,127.0831475,15&amp;a=VL:DDDGG:JWJT:SGJT:HOJT&amp;e=RETAIL&amp;articleNo=2134869230", "서울시 광진구 자양동 225-40")</f>
        <v/>
      </c>
    </row>
    <row r="136">
      <c r="A136" s="1" t="n">
        <v>0</v>
      </c>
      <c r="B136" t="inlineStr">
        <is>
          <t>서울시 광진구 자양동 582</t>
        </is>
      </c>
      <c r="C136" t="inlineStr">
        <is>
          <t>21.12.16.</t>
        </is>
      </c>
      <c r="D136" t="inlineStr">
        <is>
          <t>매매</t>
        </is>
      </c>
      <c r="E136" t="inlineStr">
        <is>
          <t>17억 5,000</t>
        </is>
      </c>
      <c r="F136" t="inlineStr">
        <is>
          <t>74/49m², 고/2층, 남동향</t>
        </is>
      </c>
      <c r="G136" t="inlineStr">
        <is>
          <t>어울림공인중개사사무소</t>
        </is>
      </c>
      <c r="H136">
        <f>HYPERLINK("https://new.land.naver.com/houses?ms=37.5344483,127.0831475,15&amp;a=VL:DDDGG:JWJT:SGJT:HOJT&amp;e=RETAIL&amp;articleNo=2133486963", "서울시 광진구 자양동 582")</f>
        <v/>
      </c>
    </row>
    <row r="137">
      <c r="A137" s="1" t="n">
        <v>0</v>
      </c>
      <c r="B137" t="inlineStr">
        <is>
          <t>서울시 광진구 자양동 464-23</t>
        </is>
      </c>
      <c r="C137" t="inlineStr">
        <is>
          <t>21.12.30.</t>
        </is>
      </c>
      <c r="D137" t="inlineStr">
        <is>
          <t>전세</t>
        </is>
      </c>
      <c r="E137" t="inlineStr">
        <is>
          <t>1억 7,000</t>
        </is>
      </c>
      <c r="F137" t="inlineStr">
        <is>
          <t>82/48m², 중/2층, 남향</t>
        </is>
      </c>
      <c r="G137" t="inlineStr">
        <is>
          <t>삼성부동산공인중개사사무소</t>
        </is>
      </c>
      <c r="H137">
        <f>HYPERLINK("https://new.land.naver.com/houses?ms=37.5344483,127.0831475,15&amp;a=VL:DDDGG:JWJT:SGJT:HOJT&amp;e=RETAIL&amp;articleNo=2134868558", "서울시 광진구 자양동 464-23")</f>
        <v/>
      </c>
    </row>
    <row r="138">
      <c r="A138" s="1" t="n">
        <v>0</v>
      </c>
      <c r="B138" t="inlineStr">
        <is>
          <t>서울시 광진구 자양동 616-38</t>
        </is>
      </c>
      <c r="C138" t="inlineStr">
        <is>
          <t>21.12.07.</t>
        </is>
      </c>
      <c r="D138" t="inlineStr">
        <is>
          <t>전세</t>
        </is>
      </c>
      <c r="E138" t="inlineStr">
        <is>
          <t>2억</t>
        </is>
      </c>
      <c r="F138" t="inlineStr">
        <is>
          <t>39/36m², 4/5층, 남동향</t>
        </is>
      </c>
      <c r="G138" t="inlineStr">
        <is>
          <t>대호공인중개사사무소</t>
        </is>
      </c>
      <c r="H138">
        <f>HYPERLINK("https://new.land.naver.com/houses?ms=37.5344483,127.0831475,15&amp;a=VL:DDDGG:JWJT:SGJT:HOJT&amp;e=RETAIL&amp;articleNo=2132477395", "서울시 광진구 자양동 616-38")</f>
        <v/>
      </c>
    </row>
    <row r="139">
      <c r="A139" s="1" t="n">
        <v>0</v>
      </c>
      <c r="B139" t="inlineStr">
        <is>
          <t>서울시 광진구 자양동 229-42</t>
        </is>
      </c>
      <c r="C139" t="inlineStr">
        <is>
          <t>21.12.21.</t>
        </is>
      </c>
      <c r="D139" t="inlineStr">
        <is>
          <t>매매</t>
        </is>
      </c>
      <c r="E139" t="inlineStr">
        <is>
          <t>3억 9,000</t>
        </is>
      </c>
      <c r="F139" t="inlineStr">
        <is>
          <t>62/53m², 1/4층, 북향</t>
        </is>
      </c>
      <c r="G139" t="inlineStr">
        <is>
          <t>우정공인중개사사무소</t>
        </is>
      </c>
      <c r="H139">
        <f>HYPERLINK("https://new.land.naver.com/houses?ms=37.5344483,127.0831475,15&amp;a=VL:DDDGG:JWJT:SGJT:HOJT&amp;e=RETAIL&amp;articleNo=2134042811", "서울시 광진구 자양동 229-42")</f>
        <v/>
      </c>
    </row>
    <row r="140">
      <c r="A140" s="1" t="n">
        <v>0</v>
      </c>
      <c r="B140" t="inlineStr">
        <is>
          <t>서울시 광진구 자양동 229-49</t>
        </is>
      </c>
      <c r="C140" t="inlineStr">
        <is>
          <t>21.12.10.</t>
        </is>
      </c>
      <c r="D140" t="inlineStr">
        <is>
          <t>매매</t>
        </is>
      </c>
      <c r="E140" t="inlineStr">
        <is>
          <t>1억 9,000</t>
        </is>
      </c>
      <c r="F140" t="inlineStr">
        <is>
          <t>25/20m², 3/4층, 남서향</t>
        </is>
      </c>
      <c r="G140" t="inlineStr">
        <is>
          <t>삼성공인중개사사무소</t>
        </is>
      </c>
      <c r="H140">
        <f>HYPERLINK("https://new.land.naver.com/houses?ms=37.5344483,127.0831475,15&amp;a=VL:DDDGG:JWJT:SGJT:HOJT&amp;e=RETAIL&amp;articleNo=2132846146", "서울시 광진구 자양동 229-49")</f>
        <v/>
      </c>
    </row>
    <row r="141">
      <c r="A141" s="1" t="n">
        <v>0</v>
      </c>
      <c r="B141" t="inlineStr">
        <is>
          <t>서울시 광진구 자양동 804-5</t>
        </is>
      </c>
      <c r="C141" t="inlineStr">
        <is>
          <t>21.12.15.</t>
        </is>
      </c>
      <c r="D141" t="inlineStr">
        <is>
          <t>매매</t>
        </is>
      </c>
      <c r="E141" t="inlineStr">
        <is>
          <t>5억</t>
        </is>
      </c>
      <c r="F141" t="inlineStr">
        <is>
          <t>54/46m², 3/5층, 남동향</t>
        </is>
      </c>
      <c r="G141" t="inlineStr">
        <is>
          <t>우정공인중개사사무소</t>
        </is>
      </c>
      <c r="H141">
        <f>HYPERLINK("https://new.land.naver.com/houses?ms=37.5344483,127.0831475,15&amp;a=VL:DDDGG:JWJT:SGJT:HOJT&amp;e=RETAIL&amp;articleNo=2133416416", "서울시 광진구 자양동 804-5")</f>
        <v/>
      </c>
    </row>
    <row r="142">
      <c r="A142" s="1" t="n">
        <v>0</v>
      </c>
      <c r="B142" t="inlineStr">
        <is>
          <t>서울시 광진구 자양동 229-62</t>
        </is>
      </c>
      <c r="C142" t="inlineStr">
        <is>
          <t>22.01.04.</t>
        </is>
      </c>
      <c r="D142" t="inlineStr">
        <is>
          <t>매매</t>
        </is>
      </c>
      <c r="E142" t="inlineStr">
        <is>
          <t>17억</t>
        </is>
      </c>
      <c r="F142" t="inlineStr">
        <is>
          <t>124/248m², 1/0층, 북동향</t>
        </is>
      </c>
      <c r="G142" t="inlineStr">
        <is>
          <t>국민마트부동산공인중개사사무소</t>
        </is>
      </c>
      <c r="H142">
        <f>HYPERLINK("https://new.land.naver.com/houses?ms=37.5344483,127.0831475,15&amp;a=VL:DDDGG:JWJT:SGJT:HOJT&amp;e=RETAIL&amp;articleNo=2200377643", "서울시 광진구 자양동 229-62")</f>
        <v/>
      </c>
    </row>
    <row r="143">
      <c r="A143" s="1" t="n">
        <v>0</v>
      </c>
      <c r="B143" t="inlineStr">
        <is>
          <t>서울시 광진구 자양동 638-12</t>
        </is>
      </c>
      <c r="C143" t="inlineStr">
        <is>
          <t>21.12.14.</t>
        </is>
      </c>
      <c r="D143" t="inlineStr">
        <is>
          <t>전세</t>
        </is>
      </c>
      <c r="E143" t="inlineStr">
        <is>
          <t>3억 8,000</t>
        </is>
      </c>
      <c r="F143" t="inlineStr">
        <is>
          <t>48/40m², 2/6층, 동향</t>
        </is>
      </c>
      <c r="G143" t="inlineStr">
        <is>
          <t>삼성공인중개사사무소</t>
        </is>
      </c>
      <c r="H143">
        <f>HYPERLINK("https://new.land.naver.com/houses?ms=37.5344483,127.0831475,15&amp;a=VL:DDDGG:JWJT:SGJT:HOJT&amp;e=RETAIL&amp;articleNo=2133267778", "서울시 광진구 자양동 638-12")</f>
        <v/>
      </c>
    </row>
    <row r="144">
      <c r="A144" s="1" t="n">
        <v>0</v>
      </c>
      <c r="B144" t="inlineStr">
        <is>
          <t>서울시 광진구 자양동 229-48</t>
        </is>
      </c>
      <c r="C144" t="inlineStr">
        <is>
          <t>21.12.06.</t>
        </is>
      </c>
      <c r="D144" t="inlineStr">
        <is>
          <t>전세</t>
        </is>
      </c>
      <c r="E144" t="inlineStr">
        <is>
          <t>2억 8,500</t>
        </is>
      </c>
      <c r="F144" t="inlineStr">
        <is>
          <t>41/23m², 4/5층, 서향</t>
        </is>
      </c>
      <c r="G144" t="inlineStr">
        <is>
          <t>자양공인중개사</t>
        </is>
      </c>
      <c r="H144">
        <f>HYPERLINK("https://new.land.naver.com/houses?ms=37.5344483,127.0831475,15&amp;a=VL:DDDGG:JWJT:SGJT:HOJT&amp;e=RETAIL&amp;articleNo=2132336128", "서울시 광진구 자양동 229-48")</f>
        <v/>
      </c>
    </row>
    <row r="145">
      <c r="A145" s="1" t="n">
        <v>0</v>
      </c>
      <c r="B145" t="inlineStr">
        <is>
          <t>서울시 광진구 자양동 227-62</t>
        </is>
      </c>
      <c r="C145" t="inlineStr">
        <is>
          <t>21.12.27.</t>
        </is>
      </c>
      <c r="D145" t="inlineStr">
        <is>
          <t>전세</t>
        </is>
      </c>
      <c r="E145" t="inlineStr">
        <is>
          <t>2억 3,000</t>
        </is>
      </c>
      <c r="F145" t="inlineStr">
        <is>
          <t>38/30m², 저/7층, 북동향</t>
        </is>
      </c>
      <c r="G145" t="inlineStr">
        <is>
          <t>무궁화공인중개사사무소</t>
        </is>
      </c>
      <c r="H145">
        <f>HYPERLINK("https://new.land.naver.com/houses?ms=37.5344483,127.0831475,15&amp;a=VL:DDDGG:JWJT:SGJT:HOJT&amp;e=RETAIL&amp;articleNo=2134564879", "서울시 광진구 자양동 227-62")</f>
        <v/>
      </c>
    </row>
    <row r="146">
      <c r="A146" s="1" t="n">
        <v>0</v>
      </c>
      <c r="B146" t="inlineStr">
        <is>
          <t>서울시 광진구 자양동 635-33</t>
        </is>
      </c>
      <c r="C146" t="inlineStr">
        <is>
          <t>21.12.15.</t>
        </is>
      </c>
      <c r="D146" t="inlineStr">
        <is>
          <t>전세</t>
        </is>
      </c>
      <c r="E146" t="inlineStr">
        <is>
          <t>1억 8,000</t>
        </is>
      </c>
      <c r="F146" t="inlineStr">
        <is>
          <t>78/39m², 고/4층, 북동향</t>
        </is>
      </c>
      <c r="G146" t="inlineStr">
        <is>
          <t>무궁화공인중개사사무소</t>
        </is>
      </c>
      <c r="H146">
        <f>HYPERLINK("https://new.land.naver.com/houses?ms=37.5344483,127.0831475,15&amp;a=VL:DDDGG:JWJT:SGJT:HOJT&amp;e=RETAIL&amp;articleNo=2133379017", "서울시 광진구 자양동 635-33")</f>
        <v/>
      </c>
    </row>
    <row r="147">
      <c r="A147" s="1" t="n">
        <v>0</v>
      </c>
      <c r="B147" t="inlineStr">
        <is>
          <t>서울시 광진구 자양동 632-17</t>
        </is>
      </c>
      <c r="C147" t="inlineStr">
        <is>
          <t>21.12.29.</t>
        </is>
      </c>
      <c r="D147" t="inlineStr">
        <is>
          <t>월세</t>
        </is>
      </c>
      <c r="E147" t="inlineStr">
        <is>
          <t>1,000/30</t>
        </is>
      </c>
      <c r="F147" t="inlineStr">
        <is>
          <t>50/40m², 저/3층, 남동향</t>
        </is>
      </c>
      <c r="G147" t="inlineStr">
        <is>
          <t>와우부동산공인중개사사무소</t>
        </is>
      </c>
      <c r="H147">
        <f>HYPERLINK("https://new.land.naver.com/houses?ms=37.5344483,127.0831475,15&amp;a=VL:DDDGG:JWJT:SGJT:HOJT&amp;e=RETAIL&amp;articleNo=2134828375", "서울시 광진구 자양동 632-17")</f>
        <v/>
      </c>
    </row>
    <row r="148">
      <c r="A148" s="1" t="n">
        <v>0</v>
      </c>
      <c r="B148" t="inlineStr">
        <is>
          <t>서울시 광진구 자양동 57-105</t>
        </is>
      </c>
      <c r="C148" t="inlineStr">
        <is>
          <t>21.12.29.</t>
        </is>
      </c>
      <c r="D148" t="inlineStr">
        <is>
          <t>매매</t>
        </is>
      </c>
      <c r="E148" t="inlineStr">
        <is>
          <t>32억</t>
        </is>
      </c>
      <c r="F148" t="inlineStr">
        <is>
          <t>166/374m², 5/0층, 북향</t>
        </is>
      </c>
      <c r="G148" t="inlineStr">
        <is>
          <t>스마트공인중개사사무소</t>
        </is>
      </c>
      <c r="H148">
        <f>HYPERLINK("https://new.land.naver.com/houses?ms=37.5344483,127.0831475,15&amp;a=VL:DDDGG:JWJT:SGJT:HOJT&amp;e=RETAIL&amp;articleNo=2134844117", "서울시 광진구 자양동 57-105")</f>
        <v/>
      </c>
    </row>
    <row r="149">
      <c r="A149" s="1" t="n">
        <v>0</v>
      </c>
      <c r="B149" t="inlineStr">
        <is>
          <t>서울시 광진구 자양동 57-90</t>
        </is>
      </c>
      <c r="C149" t="inlineStr">
        <is>
          <t>21.12.08.</t>
        </is>
      </c>
      <c r="D149" t="inlineStr">
        <is>
          <t>전세</t>
        </is>
      </c>
      <c r="E149" t="inlineStr">
        <is>
          <t>1억 5,500</t>
        </is>
      </c>
      <c r="F149" t="inlineStr">
        <is>
          <t>35/16m², 4/5층, 남서향</t>
        </is>
      </c>
      <c r="G149" t="inlineStr">
        <is>
          <t>엠공인중개사사무소</t>
        </is>
      </c>
      <c r="H149">
        <f>HYPERLINK("https://new.land.naver.com/houses?ms=37.5344483,127.0831475,15&amp;a=VL:DDDGG:JWJT:SGJT:HOJT&amp;e=RETAIL&amp;articleNo=2132625256", "서울시 광진구 자양동 57-90")</f>
        <v/>
      </c>
    </row>
    <row r="150">
      <c r="A150" s="1" t="n">
        <v>0</v>
      </c>
      <c r="B150" t="inlineStr">
        <is>
          <t>서울시 광진구 자양동 682-16</t>
        </is>
      </c>
      <c r="C150" t="inlineStr">
        <is>
          <t>21.12.18.</t>
        </is>
      </c>
      <c r="D150" t="inlineStr">
        <is>
          <t>매매</t>
        </is>
      </c>
      <c r="E150" t="inlineStr">
        <is>
          <t>19억</t>
        </is>
      </c>
      <c r="F150" t="inlineStr">
        <is>
          <t>133/216m², 5/0층, 남서향</t>
        </is>
      </c>
      <c r="G150" t="inlineStr">
        <is>
          <t>와우부동산공인중개사사무소</t>
        </is>
      </c>
      <c r="H150">
        <f>HYPERLINK("https://new.land.naver.com/houses?ms=37.5344483,127.0831475,15&amp;a=VL:DDDGG:JWJT:SGJT:HOJT&amp;e=RETAIL&amp;articleNo=2133733356", "서울시 광진구 자양동 682-16")</f>
        <v/>
      </c>
    </row>
    <row r="151">
      <c r="A151" s="1" t="n">
        <v>0</v>
      </c>
      <c r="B151" t="inlineStr">
        <is>
          <t>서울시 광진구 자양동 605-30</t>
        </is>
      </c>
      <c r="C151" t="inlineStr">
        <is>
          <t>21.12.14.</t>
        </is>
      </c>
      <c r="D151" t="inlineStr">
        <is>
          <t>매매</t>
        </is>
      </c>
      <c r="E151" t="inlineStr">
        <is>
          <t>40억</t>
        </is>
      </c>
      <c r="F151" t="inlineStr">
        <is>
          <t>215/547m², 4/B1층, 남동향</t>
        </is>
      </c>
      <c r="G151" t="inlineStr">
        <is>
          <t>대운공인중개사사무소</t>
        </is>
      </c>
      <c r="H151">
        <f>HYPERLINK("https://new.land.naver.com/houses?ms=37.5344483,127.0831475,15&amp;a=VL:DDDGG:JWJT:SGJT:HOJT&amp;e=RETAIL&amp;articleNo=2133313963", "서울시 광진구 자양동 605-30")</f>
        <v/>
      </c>
    </row>
    <row r="152">
      <c r="A152" s="1" t="n">
        <v>0</v>
      </c>
      <c r="B152" t="inlineStr">
        <is>
          <t>서울시 광진구 자양동 665-9</t>
        </is>
      </c>
      <c r="C152" t="inlineStr">
        <is>
          <t>21.12.11.</t>
        </is>
      </c>
      <c r="D152" t="inlineStr">
        <is>
          <t>월세</t>
        </is>
      </c>
      <c r="E152" t="inlineStr">
        <is>
          <t>500/45</t>
        </is>
      </c>
      <c r="F152" t="inlineStr">
        <is>
          <t>37/37m², B1/4층, 동향</t>
        </is>
      </c>
      <c r="G152" t="inlineStr">
        <is>
          <t>부동산뉴스공인중개사</t>
        </is>
      </c>
      <c r="H152">
        <f>HYPERLINK("https://new.land.naver.com/houses?ms=37.5344483,127.0831475,15&amp;a=VL:DDDGG:JWJT:SGJT:HOJT&amp;e=RETAIL&amp;articleNo=2132979603", "서울시 광진구 자양동 665-9")</f>
        <v/>
      </c>
    </row>
    <row r="153">
      <c r="A153" s="1" t="n">
        <v>0</v>
      </c>
      <c r="B153" t="inlineStr">
        <is>
          <t>서울시 광진구 자양동 650-1</t>
        </is>
      </c>
      <c r="C153" t="inlineStr">
        <is>
          <t>21.12.29.</t>
        </is>
      </c>
      <c r="D153" t="inlineStr">
        <is>
          <t>매매</t>
        </is>
      </c>
      <c r="E153" t="inlineStr">
        <is>
          <t>4억</t>
        </is>
      </c>
      <c r="F153" t="inlineStr">
        <is>
          <t>50/40m², 고/6층, 북동향</t>
        </is>
      </c>
      <c r="G153" t="inlineStr">
        <is>
          <t>와우부동산공인중개사사무소</t>
        </is>
      </c>
      <c r="H153">
        <f>HYPERLINK("https://new.land.naver.com/houses?ms=37.5344483,127.0831475,15&amp;a=VL:DDDGG:JWJT:SGJT:HOJT&amp;e=RETAIL&amp;articleNo=2134753919", "서울시 광진구 자양동 650-1")</f>
        <v/>
      </c>
    </row>
    <row r="154">
      <c r="A154" s="1" t="n">
        <v>0</v>
      </c>
      <c r="B154" t="inlineStr">
        <is>
          <t>서울시 광진구 자양동 651-29</t>
        </is>
      </c>
      <c r="C154" t="inlineStr">
        <is>
          <t>21.12.13.</t>
        </is>
      </c>
      <c r="D154" t="inlineStr">
        <is>
          <t>매매</t>
        </is>
      </c>
      <c r="E154" t="inlineStr">
        <is>
          <t>4억 5,000</t>
        </is>
      </c>
      <c r="F154" t="inlineStr">
        <is>
          <t>56/50m², 5/5층, 남향</t>
        </is>
      </c>
      <c r="G154" t="inlineStr">
        <is>
          <t>부경공인중개사사무소</t>
        </is>
      </c>
      <c r="H154">
        <f>HYPERLINK("https://new.land.naver.com/houses?ms=37.5344483,127.0831475,15&amp;a=VL:DDDGG:JWJT:SGJT:HOJT&amp;e=RETAIL&amp;articleNo=2133172020", "서울시 광진구 자양동 651-29")</f>
        <v/>
      </c>
    </row>
    <row r="155">
      <c r="A155" s="1" t="n">
        <v>0</v>
      </c>
      <c r="B155" t="inlineStr">
        <is>
          <t>서울시 광진구 자양동 649-8</t>
        </is>
      </c>
      <c r="C155" t="inlineStr">
        <is>
          <t>21.12.29.</t>
        </is>
      </c>
      <c r="D155" t="inlineStr">
        <is>
          <t>월세</t>
        </is>
      </c>
      <c r="E155" t="inlineStr">
        <is>
          <t>1억 2,000/50</t>
        </is>
      </c>
      <c r="F155" t="inlineStr">
        <is>
          <t>76/76m², 3/4층, 남향</t>
        </is>
      </c>
      <c r="G155" t="inlineStr">
        <is>
          <t>미스터홈즈부동산 성동금호센터</t>
        </is>
      </c>
      <c r="H155">
        <f>HYPERLINK("https://new.land.naver.com/houses?ms=37.5344483,127.0831475,15&amp;a=VL:DDDGG:JWJT:SGJT:HOJT&amp;e=RETAIL&amp;articleNo=2134753568", "서울시 광진구 자양동 649-8")</f>
        <v/>
      </c>
    </row>
    <row r="156">
      <c r="A156" s="1" t="n">
        <v>0</v>
      </c>
      <c r="B156" t="inlineStr">
        <is>
          <t>서울시 광진구 자양동 52-178</t>
        </is>
      </c>
      <c r="C156" t="inlineStr">
        <is>
          <t>21.12.29.</t>
        </is>
      </c>
      <c r="D156" t="inlineStr">
        <is>
          <t>매매</t>
        </is>
      </c>
      <c r="E156" t="inlineStr">
        <is>
          <t>5억</t>
        </is>
      </c>
      <c r="F156" t="inlineStr">
        <is>
          <t>35/29m², 4/5층, 동향</t>
        </is>
      </c>
      <c r="G156" t="inlineStr">
        <is>
          <t>황소공인중개사사무소</t>
        </is>
      </c>
      <c r="H156">
        <f>HYPERLINK("https://new.land.naver.com/houses?ms=37.5344483,127.0831475,15&amp;a=VL:DDDGG:JWJT:SGJT:HOJT&amp;e=RETAIL&amp;articleNo=2134851164", "서울시 광진구 자양동 52-178")</f>
        <v/>
      </c>
    </row>
    <row r="157">
      <c r="A157" s="1" t="n">
        <v>0</v>
      </c>
      <c r="B157" t="inlineStr">
        <is>
          <t>서울시 광진구 자양동 57-144</t>
        </is>
      </c>
      <c r="C157" t="inlineStr">
        <is>
          <t>21.12.29.</t>
        </is>
      </c>
      <c r="D157" t="inlineStr">
        <is>
          <t>월세</t>
        </is>
      </c>
      <c r="E157" t="inlineStr">
        <is>
          <t>1,000/65</t>
        </is>
      </c>
      <c r="F157" t="inlineStr">
        <is>
          <t>40/40m², 저/3층, 남서향</t>
        </is>
      </c>
      <c r="G157" t="inlineStr">
        <is>
          <t>현진공인중개사</t>
        </is>
      </c>
      <c r="H157">
        <f>HYPERLINK("https://new.land.naver.com/houses?ms=37.5344483,127.0831475,15&amp;a=VL:DDDGG:JWJT:SGJT:HOJT&amp;e=RETAIL&amp;articleNo=2134813972", "서울시 광진구 자양동 57-144")</f>
        <v/>
      </c>
    </row>
    <row r="158">
      <c r="A158" s="1" t="n">
        <v>0</v>
      </c>
      <c r="B158" t="inlineStr">
        <is>
          <t>서울시 광진구 자양동 554-10</t>
        </is>
      </c>
      <c r="C158" t="inlineStr">
        <is>
          <t>21.12.29.</t>
        </is>
      </c>
      <c r="D158" t="inlineStr">
        <is>
          <t>월세</t>
        </is>
      </c>
      <c r="E158" t="inlineStr">
        <is>
          <t>100/25</t>
        </is>
      </c>
      <c r="F158" t="inlineStr">
        <is>
          <t>16/16m², 저/2층, 남향</t>
        </is>
      </c>
      <c r="G158" t="inlineStr">
        <is>
          <t>현진공인중개사</t>
        </is>
      </c>
      <c r="H158">
        <f>HYPERLINK("https://new.land.naver.com/houses?ms=37.5344483,127.0831475,15&amp;a=VL:DDDGG:JWJT:SGJT:HOJT&amp;e=RETAIL&amp;articleNo=2134813626", "서울시 광진구 자양동 554-10")</f>
        <v/>
      </c>
    </row>
    <row r="159">
      <c r="A159" s="1" t="n">
        <v>0</v>
      </c>
      <c r="B159" t="inlineStr">
        <is>
          <t>서울시 광진구 자양동 202-33</t>
        </is>
      </c>
      <c r="C159" t="inlineStr">
        <is>
          <t>21.12.29.</t>
        </is>
      </c>
      <c r="D159" t="inlineStr">
        <is>
          <t>월세</t>
        </is>
      </c>
      <c r="E159" t="inlineStr">
        <is>
          <t>1,000/55</t>
        </is>
      </c>
      <c r="F159" t="inlineStr">
        <is>
          <t>40/40m², 저/3층, 동향</t>
        </is>
      </c>
      <c r="G159" t="inlineStr">
        <is>
          <t>현진공인중개사</t>
        </is>
      </c>
      <c r="H159">
        <f>HYPERLINK("https://new.land.naver.com/houses?ms=37.5344483,127.0831475,15&amp;a=VL:DDDGG:JWJT:SGJT:HOJT&amp;e=RETAIL&amp;articleNo=2134812996", "서울시 광진구 자양동 202-33")</f>
        <v/>
      </c>
    </row>
    <row r="160">
      <c r="A160" s="1" t="n">
        <v>0</v>
      </c>
      <c r="B160" t="inlineStr">
        <is>
          <t>서울시 광진구 자양동 635-4</t>
        </is>
      </c>
      <c r="C160" t="inlineStr">
        <is>
          <t>21.12.24.</t>
        </is>
      </c>
      <c r="D160" t="inlineStr">
        <is>
          <t>전세</t>
        </is>
      </c>
      <c r="E160" t="inlineStr">
        <is>
          <t>2억 3,000</t>
        </is>
      </c>
      <c r="F160" t="inlineStr">
        <is>
          <t>40/40m², 1/2층, 남동향</t>
        </is>
      </c>
      <c r="G160" t="inlineStr">
        <is>
          <t>와우부동산공인중개사사무소</t>
        </is>
      </c>
      <c r="H160">
        <f>HYPERLINK("https://new.land.naver.com/houses?ms=37.5344483,127.0831475,15&amp;a=VL:DDDGG:JWJT:SGJT:HOJT&amp;e=RETAIL&amp;articleNo=2134311336", "서울시 광진구 자양동 635-4")</f>
        <v/>
      </c>
    </row>
    <row r="161">
      <c r="A161" s="1" t="n">
        <v>0</v>
      </c>
      <c r="B161" t="inlineStr">
        <is>
          <t>서울시 광진구 자양동 833-3</t>
        </is>
      </c>
      <c r="C161" t="inlineStr">
        <is>
          <t>21.12.28.</t>
        </is>
      </c>
      <c r="D161" t="inlineStr">
        <is>
          <t>매매</t>
        </is>
      </c>
      <c r="E161" t="inlineStr">
        <is>
          <t>3억 4,000</t>
        </is>
      </c>
      <c r="F161" t="inlineStr">
        <is>
          <t>28/28m², 저/6층, 남서향</t>
        </is>
      </c>
      <c r="G161" t="inlineStr">
        <is>
          <t>사구팔구 공인중개사사무소</t>
        </is>
      </c>
      <c r="H161">
        <f>HYPERLINK("https://new.land.naver.com/houses?ms=37.5344483,127.0831475,15&amp;a=VL:DDDGG:JWJT:SGJT:HOJT&amp;e=RETAIL&amp;articleNo=2134743826", "서울시 광진구 자양동 833-3")</f>
        <v/>
      </c>
    </row>
    <row r="162">
      <c r="A162" s="1" t="n">
        <v>0</v>
      </c>
      <c r="B162" t="inlineStr">
        <is>
          <t>서울시 광진구 자양동 193-3</t>
        </is>
      </c>
      <c r="C162" t="inlineStr">
        <is>
          <t>21.12.28.</t>
        </is>
      </c>
      <c r="D162" t="inlineStr">
        <is>
          <t>월세</t>
        </is>
      </c>
      <c r="E162" t="inlineStr">
        <is>
          <t>1억/50</t>
        </is>
      </c>
      <c r="F162" t="inlineStr">
        <is>
          <t>33/27m², 2/5층, 남향</t>
        </is>
      </c>
      <c r="G162" t="inlineStr">
        <is>
          <t>로얄공인중개사사무소</t>
        </is>
      </c>
      <c r="H162">
        <f>HYPERLINK("https://new.land.naver.com/houses?ms=37.5344483,127.0831475,15&amp;a=VL:DDDGG:JWJT:SGJT:HOJT&amp;e=RETAIL&amp;articleNo=2134739240", "서울시 광진구 자양동 193-3")</f>
        <v/>
      </c>
    </row>
    <row r="163">
      <c r="A163" s="1" t="n">
        <v>0</v>
      </c>
      <c r="B163" t="inlineStr">
        <is>
          <t>서울시 광진구 자양동 645</t>
        </is>
      </c>
      <c r="C163" t="inlineStr">
        <is>
          <t>21.12.08.</t>
        </is>
      </c>
      <c r="D163" t="inlineStr">
        <is>
          <t>매매</t>
        </is>
      </c>
      <c r="E163" t="inlineStr">
        <is>
          <t>6억 5,000</t>
        </is>
      </c>
      <c r="F163" t="inlineStr">
        <is>
          <t>80/69m², 3/5층, 북향</t>
        </is>
      </c>
      <c r="G163" t="inlineStr">
        <is>
          <t>와우부동산공인중개사사무소</t>
        </is>
      </c>
      <c r="H163">
        <f>HYPERLINK("https://new.land.naver.com/houses?ms=37.5344483,127.0831475,15&amp;a=VL:DDDGG:JWJT:SGJT:HOJT&amp;e=RETAIL&amp;articleNo=2132608383", "서울시 광진구 자양동 645")</f>
        <v/>
      </c>
    </row>
    <row r="164">
      <c r="A164" s="1" t="n">
        <v>0</v>
      </c>
      <c r="B164" t="inlineStr">
        <is>
          <t>서울시 광진구 자양동 772-1</t>
        </is>
      </c>
      <c r="C164" t="inlineStr">
        <is>
          <t>21.12.06.</t>
        </is>
      </c>
      <c r="D164" t="inlineStr">
        <is>
          <t>매매</t>
        </is>
      </c>
      <c r="E164" t="inlineStr">
        <is>
          <t>2억</t>
        </is>
      </c>
      <c r="F164" t="inlineStr">
        <is>
          <t>63/54m², B1/4층, 남향</t>
        </is>
      </c>
      <c r="G164" t="inlineStr">
        <is>
          <t>자양공인중개사</t>
        </is>
      </c>
      <c r="H164">
        <f>HYPERLINK("https://new.land.naver.com/houses?ms=37.5344483,127.0831475,15&amp;a=VL:DDDGG:JWJT:SGJT:HOJT&amp;e=RETAIL&amp;articleNo=2132335627", "서울시 광진구 자양동 772-1")</f>
        <v/>
      </c>
    </row>
    <row r="165">
      <c r="A165" s="1" t="n">
        <v>0</v>
      </c>
      <c r="B165" t="inlineStr">
        <is>
          <t>서울시 광진구 자양동 775-12</t>
        </is>
      </c>
      <c r="C165" t="inlineStr">
        <is>
          <t>21.12.17.</t>
        </is>
      </c>
      <c r="D165" t="inlineStr">
        <is>
          <t>전세</t>
        </is>
      </c>
      <c r="E165" t="inlineStr">
        <is>
          <t>3억</t>
        </is>
      </c>
      <c r="F165" t="inlineStr">
        <is>
          <t>23/17m², 4/6층, 북서향</t>
        </is>
      </c>
      <c r="G165" t="inlineStr">
        <is>
          <t>뉴엘리트공인중개사사무소</t>
        </is>
      </c>
      <c r="H165">
        <f>HYPERLINK("https://new.land.naver.com/houses?ms=37.5344483,127.0831475,15&amp;a=VL:DDDGG:JWJT:SGJT:HOJT&amp;e=RETAIL&amp;articleNo=2133622918", "서울시 광진구 자양동 775-12")</f>
        <v/>
      </c>
    </row>
    <row r="166">
      <c r="A166" s="1" t="n">
        <v>0</v>
      </c>
      <c r="B166" t="inlineStr">
        <is>
          <t>서울시 광진구 자양동 769-24</t>
        </is>
      </c>
      <c r="C166" t="inlineStr">
        <is>
          <t>21.12.15.</t>
        </is>
      </c>
      <c r="D166" t="inlineStr">
        <is>
          <t>월세</t>
        </is>
      </c>
      <c r="E166" t="inlineStr">
        <is>
          <t>5,000/30</t>
        </is>
      </c>
      <c r="F166" t="inlineStr">
        <is>
          <t>28/27m², 1/2층, 남동향</t>
        </is>
      </c>
      <c r="G166" t="inlineStr">
        <is>
          <t>우리부동산공인중개사사무소</t>
        </is>
      </c>
      <c r="H166">
        <f>HYPERLINK("https://new.land.naver.com/houses?ms=37.5344483,127.0831475,15&amp;a=VL:DDDGG:JWJT:SGJT:HOJT&amp;e=RETAIL&amp;articleNo=2133360225", "서울시 광진구 자양동 769-24")</f>
        <v/>
      </c>
    </row>
    <row r="167">
      <c r="A167" s="1" t="n">
        <v>0</v>
      </c>
      <c r="B167" t="inlineStr">
        <is>
          <t>서울시 광진구 자양동 775-10</t>
        </is>
      </c>
      <c r="C167" t="inlineStr">
        <is>
          <t>21.12.27.</t>
        </is>
      </c>
      <c r="D167" t="inlineStr">
        <is>
          <t>매매</t>
        </is>
      </c>
      <c r="E167" t="inlineStr">
        <is>
          <t>2억 4,000</t>
        </is>
      </c>
      <c r="F167" t="inlineStr">
        <is>
          <t>40/26m², 중/5층, 동향</t>
        </is>
      </c>
      <c r="G167" t="inlineStr">
        <is>
          <t>힘찬부동산공인중개사사무소</t>
        </is>
      </c>
      <c r="H167">
        <f>HYPERLINK("https://new.land.naver.com/houses?ms=37.5344483,127.0831475,15&amp;a=VL:DDDGG:JWJT:SGJT:HOJT&amp;e=RETAIL&amp;articleNo=2134555775", "서울시 광진구 자양동 775-10")</f>
        <v/>
      </c>
    </row>
    <row r="168">
      <c r="A168" s="1" t="n">
        <v>0</v>
      </c>
      <c r="B168" t="inlineStr">
        <is>
          <t>서울시 광진구 자양동 16-1</t>
        </is>
      </c>
      <c r="C168" t="inlineStr">
        <is>
          <t>21.12.07.</t>
        </is>
      </c>
      <c r="D168" t="inlineStr">
        <is>
          <t>매매</t>
        </is>
      </c>
      <c r="E168" t="inlineStr">
        <is>
          <t>7억 9,000</t>
        </is>
      </c>
      <c r="F168" t="inlineStr">
        <is>
          <t>102/69m², 중/4층, 동향</t>
        </is>
      </c>
      <c r="G168" t="inlineStr">
        <is>
          <t>에이원공인중개사사무소</t>
        </is>
      </c>
      <c r="H168">
        <f>HYPERLINK("https://new.land.naver.com/houses?ms=37.5344483,127.0831475,15&amp;a=VL:DDDGG:JWJT:SGJT:HOJT&amp;e=RETAIL&amp;articleNo=2132535927", "서울시 광진구 자양동 16-1")</f>
        <v/>
      </c>
    </row>
    <row r="169">
      <c r="A169" s="1" t="n">
        <v>0</v>
      </c>
      <c r="B169" t="inlineStr">
        <is>
          <t>서울시 광진구 자양동 631-10</t>
        </is>
      </c>
      <c r="C169" t="inlineStr">
        <is>
          <t>21.12.28.</t>
        </is>
      </c>
      <c r="D169" t="inlineStr">
        <is>
          <t>매매</t>
        </is>
      </c>
      <c r="E169" t="inlineStr">
        <is>
          <t>5억</t>
        </is>
      </c>
      <c r="F169" t="inlineStr">
        <is>
          <t>39/33m², 5/5층, 남향</t>
        </is>
      </c>
      <c r="G169" t="inlineStr">
        <is>
          <t>와우부동산공인중개사사무소</t>
        </is>
      </c>
      <c r="H169">
        <f>HYPERLINK("https://new.land.naver.com/houses?ms=37.5344483,127.0831475,15&amp;a=VL:DDDGG:JWJT:SGJT:HOJT&amp;e=RETAIL&amp;articleNo=2134695929", "서울시 광진구 자양동 631-10")</f>
        <v/>
      </c>
    </row>
    <row r="170">
      <c r="A170" s="1" t="n">
        <v>0</v>
      </c>
      <c r="B170" t="inlineStr">
        <is>
          <t>서울시 광진구 자양동 586-4</t>
        </is>
      </c>
      <c r="C170" t="inlineStr">
        <is>
          <t>21.12.07.</t>
        </is>
      </c>
      <c r="D170" t="inlineStr">
        <is>
          <t>월세</t>
        </is>
      </c>
      <c r="E170" t="inlineStr">
        <is>
          <t>2억 6,000/40</t>
        </is>
      </c>
      <c r="F170" t="inlineStr">
        <is>
          <t>57/51m², 중/3층, 남서향</t>
        </is>
      </c>
      <c r="G170" t="inlineStr">
        <is>
          <t>용공인중개사사무소</t>
        </is>
      </c>
      <c r="H170">
        <f>HYPERLINK("https://new.land.naver.com/houses?ms=37.5344483,127.0831475,15&amp;a=VL:DDDGG:JWJT:SGJT:HOJT&amp;e=RETAIL&amp;articleNo=2132413112", "서울시 광진구 자양동 586-4")</f>
        <v/>
      </c>
    </row>
    <row r="171">
      <c r="A171" s="1" t="n">
        <v>0</v>
      </c>
      <c r="B171" t="inlineStr">
        <is>
          <t>서울시 광진구 자양동 666-18</t>
        </is>
      </c>
      <c r="C171" t="inlineStr">
        <is>
          <t>21.12.09.</t>
        </is>
      </c>
      <c r="D171" t="inlineStr">
        <is>
          <t>전세</t>
        </is>
      </c>
      <c r="E171" t="inlineStr">
        <is>
          <t>3억 3,800</t>
        </is>
      </c>
      <c r="F171" t="inlineStr">
        <is>
          <t>49/26m², 2/6층, 동향</t>
        </is>
      </c>
      <c r="G171" t="inlineStr">
        <is>
          <t>서진공인중개사사무소</t>
        </is>
      </c>
      <c r="H171">
        <f>HYPERLINK("https://new.land.naver.com/houses?ms=37.5344483,127.0831475,15&amp;a=VL:DDDGG:JWJT:SGJT:HOJT&amp;e=RETAIL&amp;articleNo=2132672420", "서울시 광진구 자양동 666-18")</f>
        <v/>
      </c>
    </row>
    <row r="172">
      <c r="A172" s="1" t="n">
        <v>0</v>
      </c>
      <c r="B172" t="inlineStr">
        <is>
          <t>서울시 광진구 자양동 630-32</t>
        </is>
      </c>
      <c r="C172" t="inlineStr">
        <is>
          <t>21.12.28.</t>
        </is>
      </c>
      <c r="D172" t="inlineStr">
        <is>
          <t>월세</t>
        </is>
      </c>
      <c r="E172" t="inlineStr">
        <is>
          <t>1,000/45</t>
        </is>
      </c>
      <c r="F172" t="inlineStr">
        <is>
          <t>30/20m², 2/3층, 남서향</t>
        </is>
      </c>
      <c r="G172" t="inlineStr">
        <is>
          <t>와우부동산공인중개사사무소</t>
        </is>
      </c>
      <c r="H172">
        <f>HYPERLINK("https://new.land.naver.com/houses?ms=37.5344483,127.0831475,15&amp;a=VL:DDDGG:JWJT:SGJT:HOJT&amp;e=RETAIL&amp;articleNo=2134682569", "서울시 광진구 자양동 630-32")</f>
        <v/>
      </c>
    </row>
    <row r="173">
      <c r="A173" s="1" t="n">
        <v>0</v>
      </c>
      <c r="B173" t="inlineStr">
        <is>
          <t>서울시 광진구 자양동 771-14</t>
        </is>
      </c>
      <c r="C173" t="inlineStr">
        <is>
          <t>21.12.28.</t>
        </is>
      </c>
      <c r="D173" t="inlineStr">
        <is>
          <t>월세</t>
        </is>
      </c>
      <c r="E173" t="inlineStr">
        <is>
          <t>500/38</t>
        </is>
      </c>
      <c r="F173" t="inlineStr">
        <is>
          <t>27/25m², B1/2층, 북동향</t>
        </is>
      </c>
      <c r="G173" t="inlineStr">
        <is>
          <t>우리부동산공인중개사사무소</t>
        </is>
      </c>
      <c r="H173">
        <f>HYPERLINK("https://new.land.naver.com/houses?ms=37.5344483,127.0831475,15&amp;a=VL:DDDGG:JWJT:SGJT:HOJT&amp;e=RETAIL&amp;articleNo=2134659658", "서울시 광진구 자양동 771-14")</f>
        <v/>
      </c>
    </row>
    <row r="174">
      <c r="A174" s="1" t="n">
        <v>0</v>
      </c>
      <c r="B174" t="inlineStr">
        <is>
          <t>서울시 광진구 자양동 772-16</t>
        </is>
      </c>
      <c r="C174" t="inlineStr">
        <is>
          <t>21.12.28.</t>
        </is>
      </c>
      <c r="D174" t="inlineStr">
        <is>
          <t>월세</t>
        </is>
      </c>
      <c r="E174" t="inlineStr">
        <is>
          <t>500/65</t>
        </is>
      </c>
      <c r="F174" t="inlineStr">
        <is>
          <t>30/29m², 3/3층, 남동향</t>
        </is>
      </c>
      <c r="G174" t="inlineStr">
        <is>
          <t>우리부동산공인중개사사무소</t>
        </is>
      </c>
      <c r="H174">
        <f>HYPERLINK("https://new.land.naver.com/houses?ms=37.5344483,127.0831475,15&amp;a=VL:DDDGG:JWJT:SGJT:HOJT&amp;e=RETAIL&amp;articleNo=2134656658", "서울시 광진구 자양동 772-16")</f>
        <v/>
      </c>
    </row>
    <row r="175">
      <c r="A175" s="1" t="n">
        <v>0</v>
      </c>
      <c r="B175" t="inlineStr">
        <is>
          <t>서울시 광진구 자양동 227-284</t>
        </is>
      </c>
      <c r="C175" t="inlineStr">
        <is>
          <t>21.12.07.</t>
        </is>
      </c>
      <c r="D175" t="inlineStr">
        <is>
          <t>전세</t>
        </is>
      </c>
      <c r="E175" t="inlineStr">
        <is>
          <t>4억</t>
        </is>
      </c>
      <c r="F175" t="inlineStr">
        <is>
          <t>63/63m², 3/3층, 동향</t>
        </is>
      </c>
      <c r="G175" t="inlineStr">
        <is>
          <t>신한공인중개사사무소</t>
        </is>
      </c>
      <c r="H175">
        <f>HYPERLINK("https://new.land.naver.com/houses?ms=37.5344483,127.0831475,15&amp;a=VL:DDDGG:JWJT:SGJT:HOJT&amp;e=RETAIL&amp;articleNo=2132545414", "서울시 광진구 자양동 227-284")</f>
        <v/>
      </c>
    </row>
    <row r="176">
      <c r="A176" s="1" t="n">
        <v>0</v>
      </c>
      <c r="B176" t="inlineStr">
        <is>
          <t>서울시 광진구 자양동 618-11</t>
        </is>
      </c>
      <c r="C176" t="inlineStr">
        <is>
          <t>21.12.27.</t>
        </is>
      </c>
      <c r="D176" t="inlineStr">
        <is>
          <t>전세</t>
        </is>
      </c>
      <c r="E176" t="inlineStr">
        <is>
          <t>2억 8,000</t>
        </is>
      </c>
      <c r="F176" t="inlineStr">
        <is>
          <t>53/53m², 1/2층, 서향</t>
        </is>
      </c>
      <c r="G176" t="inlineStr">
        <is>
          <t>뉴엘리트공인중개사사무소</t>
        </is>
      </c>
      <c r="H176">
        <f>HYPERLINK("https://new.land.naver.com/houses?ms=37.5344483,127.0831475,15&amp;a=VL:DDDGG:JWJT:SGJT:HOJT&amp;e=RETAIL&amp;articleNo=2134591570", "서울시 광진구 자양동 618-11")</f>
        <v/>
      </c>
    </row>
    <row r="177">
      <c r="A177" s="1" t="n">
        <v>0</v>
      </c>
      <c r="B177" t="inlineStr">
        <is>
          <t>서울시 광진구 자양동 842-1</t>
        </is>
      </c>
      <c r="C177" t="inlineStr">
        <is>
          <t>21.12.11.</t>
        </is>
      </c>
      <c r="D177" t="inlineStr">
        <is>
          <t>전세</t>
        </is>
      </c>
      <c r="E177" t="inlineStr">
        <is>
          <t>2억 6,500</t>
        </is>
      </c>
      <c r="F177" t="inlineStr">
        <is>
          <t>30/26m², 1/5층, 서향</t>
        </is>
      </c>
      <c r="G177" t="inlineStr">
        <is>
          <t>한강공인중개사사무소</t>
        </is>
      </c>
      <c r="H177">
        <f>HYPERLINK("https://new.land.naver.com/houses?ms=37.5344483,127.0831475,15&amp;a=VL:DDDGG:JWJT:SGJT:HOJT&amp;e=RETAIL&amp;articleNo=2133035287", "서울시 광진구 자양동 842-1")</f>
        <v/>
      </c>
    </row>
    <row r="178">
      <c r="A178" s="1" t="n">
        <v>0</v>
      </c>
      <c r="B178" t="inlineStr">
        <is>
          <t>서울시 광진구 자양동 769-22</t>
        </is>
      </c>
      <c r="C178" t="inlineStr">
        <is>
          <t>21.12.06.</t>
        </is>
      </c>
      <c r="D178" t="inlineStr">
        <is>
          <t>전세</t>
        </is>
      </c>
      <c r="E178" t="inlineStr">
        <is>
          <t>3억 1,000</t>
        </is>
      </c>
      <c r="F178" t="inlineStr">
        <is>
          <t>53/51m², 2/3층, 동향</t>
        </is>
      </c>
      <c r="G178" t="inlineStr">
        <is>
          <t>대신공인중개사사무소</t>
        </is>
      </c>
      <c r="H178">
        <f>HYPERLINK("https://new.land.naver.com/houses?ms=37.5344483,127.0831475,15&amp;a=VL:DDDGG:JWJT:SGJT:HOJT&amp;e=RETAIL&amp;articleNo=2132259022", "서울시 광진구 자양동 769-22")</f>
        <v/>
      </c>
    </row>
    <row r="179">
      <c r="A179" s="1" t="n">
        <v>0</v>
      </c>
      <c r="B179" t="inlineStr">
        <is>
          <t>서울시 광진구 자양동 771-20</t>
        </is>
      </c>
      <c r="C179" t="inlineStr">
        <is>
          <t>21.12.27.</t>
        </is>
      </c>
      <c r="D179" t="inlineStr">
        <is>
          <t>전세</t>
        </is>
      </c>
      <c r="E179" t="inlineStr">
        <is>
          <t>4억 5,000</t>
        </is>
      </c>
      <c r="F179" t="inlineStr">
        <is>
          <t>47/36m², 5/5층, 북동향</t>
        </is>
      </c>
      <c r="G179" t="inlineStr">
        <is>
          <t>연세공인중개사사무소</t>
        </is>
      </c>
      <c r="H179">
        <f>HYPERLINK("https://new.land.naver.com/houses?ms=37.5344483,127.0831475,15&amp;a=VL:DDDGG:JWJT:SGJT:HOJT&amp;e=RETAIL&amp;articleNo=2134572499", "서울시 광진구 자양동 771-20")</f>
        <v/>
      </c>
    </row>
    <row r="180">
      <c r="A180" s="1" t="n">
        <v>0</v>
      </c>
      <c r="B180" t="inlineStr">
        <is>
          <t>서울시 광진구 자양동 857</t>
        </is>
      </c>
      <c r="C180" t="inlineStr">
        <is>
          <t>21.12.10.</t>
        </is>
      </c>
      <c r="D180" t="inlineStr">
        <is>
          <t>매매</t>
        </is>
      </c>
      <c r="E180" t="inlineStr">
        <is>
          <t>1억 3,500</t>
        </is>
      </c>
      <c r="F180" t="inlineStr">
        <is>
          <t>29/13m², 2/6층, 남서향</t>
        </is>
      </c>
      <c r="G180" t="inlineStr">
        <is>
          <t>건대123부동산공인중개사사무소</t>
        </is>
      </c>
      <c r="H180">
        <f>HYPERLINK("https://new.land.naver.com/houses?ms=37.5344483,127.0831475,15&amp;a=VL:DDDGG:JWJT:SGJT:HOJT&amp;e=RETAIL&amp;articleNo=2132918406", "서울시 광진구 자양동 857")</f>
        <v/>
      </c>
    </row>
    <row r="181">
      <c r="A181" s="1" t="n">
        <v>0</v>
      </c>
      <c r="B181" t="inlineStr">
        <is>
          <t>서울시 광진구 자양동 664-7</t>
        </is>
      </c>
      <c r="C181" t="inlineStr">
        <is>
          <t>22.01.04.</t>
        </is>
      </c>
      <c r="D181" t="inlineStr">
        <is>
          <t>전세</t>
        </is>
      </c>
      <c r="E181" t="inlineStr">
        <is>
          <t>3억</t>
        </is>
      </c>
      <c r="F181" t="inlineStr">
        <is>
          <t>60/55m², 5/5층, 남향</t>
        </is>
      </c>
      <c r="G181" t="inlineStr">
        <is>
          <t>대원공인중개사사무소</t>
        </is>
      </c>
      <c r="H181">
        <f>HYPERLINK("https://new.land.naver.com/houses?ms=37.5344483,127.0831475,15&amp;a=VL:DDDGG:JWJT:SGJT:HOJT&amp;e=RETAIL&amp;articleNo=2200272111", "서울시 광진구 자양동 664-7")</f>
        <v/>
      </c>
    </row>
    <row r="182">
      <c r="A182" s="1" t="n">
        <v>0</v>
      </c>
      <c r="B182" t="inlineStr">
        <is>
          <t>서울시 광진구 자양동 667-17</t>
        </is>
      </c>
      <c r="C182" t="inlineStr">
        <is>
          <t>21.12.16.</t>
        </is>
      </c>
      <c r="D182" t="inlineStr">
        <is>
          <t>전세</t>
        </is>
      </c>
      <c r="E182" t="inlineStr">
        <is>
          <t>3억</t>
        </is>
      </c>
      <c r="F182" t="inlineStr">
        <is>
          <t>47/40m², 3/5층, 남향</t>
        </is>
      </c>
      <c r="G182" t="inlineStr">
        <is>
          <t>LBA제일공인중개사사무소</t>
        </is>
      </c>
      <c r="H182">
        <f>HYPERLINK("https://new.land.naver.com/houses?ms=37.5344483,127.0831475,15&amp;a=VL:DDDGG:JWJT:SGJT:HOJT&amp;e=RETAIL&amp;articleNo=2133517979", "서울시 광진구 자양동 667-17")</f>
        <v/>
      </c>
    </row>
    <row r="183">
      <c r="A183" s="1" t="n">
        <v>0</v>
      </c>
      <c r="B183" t="inlineStr">
        <is>
          <t>서울시 광진구 자양동 219-11</t>
        </is>
      </c>
      <c r="C183" t="inlineStr">
        <is>
          <t>21.12.27.</t>
        </is>
      </c>
      <c r="D183" t="inlineStr">
        <is>
          <t>매매</t>
        </is>
      </c>
      <c r="E183" t="inlineStr">
        <is>
          <t>4억 6,000</t>
        </is>
      </c>
      <c r="F183" t="inlineStr">
        <is>
          <t>63/46m², 3/13층, 남향</t>
        </is>
      </c>
      <c r="G183" t="inlineStr">
        <is>
          <t>대신공인중개사사무소</t>
        </is>
      </c>
      <c r="H183">
        <f>HYPERLINK("https://new.land.naver.com/houses?ms=37.5344483,127.0831475,15&amp;a=VL:DDDGG:JWJT:SGJT:HOJT&amp;e=RETAIL&amp;articleNo=2134438392", "서울시 광진구 자양동 219-11")</f>
        <v/>
      </c>
    </row>
    <row r="184">
      <c r="A184" s="1" t="n">
        <v>0</v>
      </c>
      <c r="B184" t="inlineStr">
        <is>
          <t>서울시 광진구 자양동 553-474</t>
        </is>
      </c>
      <c r="C184" t="inlineStr">
        <is>
          <t>21.12.06.</t>
        </is>
      </c>
      <c r="D184" t="inlineStr">
        <is>
          <t>월세</t>
        </is>
      </c>
      <c r="E184" t="inlineStr">
        <is>
          <t>1억 5,000/50</t>
        </is>
      </c>
      <c r="F184" t="inlineStr">
        <is>
          <t>40/39m², 3/5층, 남향</t>
        </is>
      </c>
      <c r="G184" t="inlineStr">
        <is>
          <t>노유공인중개사</t>
        </is>
      </c>
      <c r="H184">
        <f>HYPERLINK("https://new.land.naver.com/houses?ms=37.5344483,127.0831475,15&amp;a=VL:DDDGG:JWJT:SGJT:HOJT&amp;e=RETAIL&amp;articleNo=2132327749", "서울시 광진구 자양동 553-474")</f>
        <v/>
      </c>
    </row>
    <row r="185">
      <c r="A185" s="1" t="n">
        <v>0</v>
      </c>
      <c r="B185" t="inlineStr">
        <is>
          <t>서울시 광진구 자양동 595-10</t>
        </is>
      </c>
      <c r="C185" t="inlineStr">
        <is>
          <t>21.12.28.</t>
        </is>
      </c>
      <c r="D185" t="inlineStr">
        <is>
          <t>월세</t>
        </is>
      </c>
      <c r="E185" t="inlineStr">
        <is>
          <t>1,000/40</t>
        </is>
      </c>
      <c r="F185" t="inlineStr">
        <is>
          <t>40/40m², B1/3층, 동향</t>
        </is>
      </c>
      <c r="G185" t="inlineStr">
        <is>
          <t>부동산신화공인중개사사무소</t>
        </is>
      </c>
      <c r="H185">
        <f>HYPERLINK("https://new.land.naver.com/houses?ms=37.5344483,127.0831475,15&amp;a=VL:DDDGG:JWJT:SGJT:HOJT&amp;e=RETAIL&amp;articleNo=2134719506", "서울시 광진구 자양동 595-10")</f>
        <v/>
      </c>
    </row>
    <row r="186">
      <c r="A186" s="1" t="n">
        <v>0</v>
      </c>
      <c r="B186" t="inlineStr">
        <is>
          <t>서울시 광진구 자양동 772-22</t>
        </is>
      </c>
      <c r="C186" t="inlineStr">
        <is>
          <t>21.12.16.</t>
        </is>
      </c>
      <c r="D186" t="inlineStr">
        <is>
          <t>매매</t>
        </is>
      </c>
      <c r="E186" t="inlineStr">
        <is>
          <t>4억 5,000</t>
        </is>
      </c>
      <c r="F186" t="inlineStr">
        <is>
          <t>62/45m², 3/4층, 남향</t>
        </is>
      </c>
      <c r="G186" t="inlineStr">
        <is>
          <t>우리부동산공인중개사사무소</t>
        </is>
      </c>
      <c r="H186">
        <f>HYPERLINK("https://new.land.naver.com/houses?ms=37.5344483,127.0831475,15&amp;a=VL:DDDGG:JWJT:SGJT:HOJT&amp;e=RETAIL&amp;articleNo=2133579725", "서울시 광진구 자양동 772-22")</f>
        <v/>
      </c>
    </row>
    <row r="187">
      <c r="A187" s="1" t="n">
        <v>0</v>
      </c>
      <c r="B187" t="inlineStr">
        <is>
          <t>서울시 광진구 자양동 52-120</t>
        </is>
      </c>
      <c r="C187" t="inlineStr">
        <is>
          <t>21.12.17.</t>
        </is>
      </c>
      <c r="D187" t="inlineStr">
        <is>
          <t>전세</t>
        </is>
      </c>
      <c r="E187" t="inlineStr">
        <is>
          <t>5억</t>
        </is>
      </c>
      <c r="F187" t="inlineStr">
        <is>
          <t>83/57m², 고/4층, 남향</t>
        </is>
      </c>
      <c r="G187" t="inlineStr">
        <is>
          <t>한강공인중개사사무소</t>
        </is>
      </c>
      <c r="H187">
        <f>HYPERLINK("https://new.land.naver.com/houses?ms=37.5344483,127.0831475,15&amp;a=VL:DDDGG:JWJT:SGJT:HOJT&amp;e=RETAIL&amp;articleNo=2133695679", "서울시 광진구 자양동 52-120")</f>
        <v/>
      </c>
    </row>
    <row r="188">
      <c r="A188" s="1" t="n">
        <v>0</v>
      </c>
      <c r="B188" t="inlineStr">
        <is>
          <t>서울시 광진구 자양동 630-25</t>
        </is>
      </c>
      <c r="C188" t="inlineStr">
        <is>
          <t>21.12.27.</t>
        </is>
      </c>
      <c r="D188" t="inlineStr">
        <is>
          <t>월세</t>
        </is>
      </c>
      <c r="E188" t="inlineStr">
        <is>
          <t>1,000/45</t>
        </is>
      </c>
      <c r="F188" t="inlineStr">
        <is>
          <t>30/29m², 1/3층, 남동향</t>
        </is>
      </c>
      <c r="G188" t="inlineStr">
        <is>
          <t>새롬공인중개사사무소</t>
        </is>
      </c>
      <c r="H188">
        <f>HYPERLINK("https://new.land.naver.com/houses?ms=37.5344483,127.0831475,15&amp;a=VL:DDDGG:JWJT:SGJT:HOJT&amp;e=RETAIL&amp;articleNo=2134590944", "서울시 광진구 자양동 630-25")</f>
        <v/>
      </c>
    </row>
    <row r="189">
      <c r="A189" s="1" t="n">
        <v>0</v>
      </c>
      <c r="B189" t="inlineStr">
        <is>
          <t>서울시 광진구 자양동 46-33</t>
        </is>
      </c>
      <c r="C189" t="inlineStr">
        <is>
          <t>21.12.27.</t>
        </is>
      </c>
      <c r="D189" t="inlineStr">
        <is>
          <t>매매</t>
        </is>
      </c>
      <c r="E189" t="inlineStr">
        <is>
          <t>6억 8,500</t>
        </is>
      </c>
      <c r="F189" t="inlineStr">
        <is>
          <t>31/27m², 고/2층, 남동향</t>
        </is>
      </c>
      <c r="G189" t="inlineStr">
        <is>
          <t>부동산tv공인중개사사무소</t>
        </is>
      </c>
      <c r="H189">
        <f>HYPERLINK("https://new.land.naver.com/houses?ms=37.5344483,127.0831475,15&amp;a=VL:DDDGG:JWJT:SGJT:HOJT&amp;e=RETAIL&amp;articleNo=2134591822", "서울시 광진구 자양동 46-33")</f>
        <v/>
      </c>
    </row>
    <row r="190">
      <c r="A190" s="1" t="n">
        <v>0</v>
      </c>
      <c r="B190" t="inlineStr">
        <is>
          <t>서울시 광진구 자양동 623-18</t>
        </is>
      </c>
      <c r="C190" t="inlineStr">
        <is>
          <t>21.12.20.</t>
        </is>
      </c>
      <c r="D190" t="inlineStr">
        <is>
          <t>월세</t>
        </is>
      </c>
      <c r="E190" t="inlineStr">
        <is>
          <t>2억 2,000/30</t>
        </is>
      </c>
      <c r="F190" t="inlineStr">
        <is>
          <t>57/56m², 5/5층, 남서향</t>
        </is>
      </c>
      <c r="G190" t="inlineStr">
        <is>
          <t>삼성공인중개사사무소</t>
        </is>
      </c>
      <c r="H190">
        <f>HYPERLINK("https://new.land.naver.com/houses?ms=37.5344483,127.0831475,15&amp;a=VL:DDDGG:JWJT:SGJT:HOJT&amp;e=RETAIL&amp;articleNo=2133932719", "서울시 광진구 자양동 623-18")</f>
        <v/>
      </c>
    </row>
    <row r="191">
      <c r="A191" s="1" t="n">
        <v>0</v>
      </c>
      <c r="B191" t="inlineStr">
        <is>
          <t>서울시 광진구 자양동 623-46</t>
        </is>
      </c>
      <c r="C191" t="inlineStr">
        <is>
          <t>21.12.17.</t>
        </is>
      </c>
      <c r="D191" t="inlineStr">
        <is>
          <t>월세</t>
        </is>
      </c>
      <c r="E191" t="inlineStr">
        <is>
          <t>500/40</t>
        </is>
      </c>
      <c r="F191" t="inlineStr">
        <is>
          <t>89/29m², 고/4층, 북동향</t>
        </is>
      </c>
      <c r="G191" t="inlineStr">
        <is>
          <t>와우부동산공인중개사사무소</t>
        </is>
      </c>
      <c r="H191">
        <f>HYPERLINK("https://new.land.naver.com/houses?ms=37.5344483,127.0831475,15&amp;a=VL:DDDGG:JWJT:SGJT:HOJT&amp;e=RETAIL&amp;articleNo=2133574661", "서울시 광진구 자양동 623-46")</f>
        <v/>
      </c>
    </row>
    <row r="192">
      <c r="A192" s="1" t="n">
        <v>0</v>
      </c>
      <c r="B192" t="inlineStr">
        <is>
          <t>서울시 광진구 자양동 605-17</t>
        </is>
      </c>
      <c r="C192" t="inlineStr">
        <is>
          <t>21.12.27.</t>
        </is>
      </c>
      <c r="D192" t="inlineStr">
        <is>
          <t>매매</t>
        </is>
      </c>
      <c r="E192" t="inlineStr">
        <is>
          <t>35억</t>
        </is>
      </c>
      <c r="F192" t="inlineStr">
        <is>
          <t>184/404m², 4/B1층, 남동향</t>
        </is>
      </c>
      <c r="G192" t="inlineStr">
        <is>
          <t>진짜공인중개사사무소</t>
        </is>
      </c>
      <c r="H192">
        <f>HYPERLINK("https://new.land.naver.com/houses?ms=37.5344483,127.0831475,15&amp;a=VL:DDDGG:JWJT:SGJT:HOJT&amp;e=RETAIL&amp;articleNo=2134581948", "서울시 광진구 자양동 605-17")</f>
        <v/>
      </c>
    </row>
    <row r="193">
      <c r="A193" s="1" t="n">
        <v>0</v>
      </c>
      <c r="B193" t="inlineStr">
        <is>
          <t>서울시 광진구 자양동 219-14</t>
        </is>
      </c>
      <c r="C193" t="inlineStr">
        <is>
          <t>21.12.18.</t>
        </is>
      </c>
      <c r="D193" t="inlineStr">
        <is>
          <t>매매</t>
        </is>
      </c>
      <c r="E193" t="inlineStr">
        <is>
          <t>6억 8,000</t>
        </is>
      </c>
      <c r="F193" t="inlineStr">
        <is>
          <t>82/73m², 5/5층, 북동향</t>
        </is>
      </c>
      <c r="G193" t="inlineStr">
        <is>
          <t>부동산스타 공인중개사 사무소</t>
        </is>
      </c>
      <c r="H193">
        <f>HYPERLINK("https://new.land.naver.com/houses?ms=37.5344483,127.0831475,15&amp;a=VL:DDDGG:JWJT:SGJT:HOJT&amp;e=RETAIL&amp;articleNo=2133765973", "서울시 광진구 자양동 219-14")</f>
        <v/>
      </c>
    </row>
    <row r="194">
      <c r="A194" s="1" t="n">
        <v>0</v>
      </c>
      <c r="B194" t="inlineStr">
        <is>
          <t>서울시 광진구 자양동 231-16</t>
        </is>
      </c>
      <c r="C194" t="inlineStr">
        <is>
          <t>21.12.27.</t>
        </is>
      </c>
      <c r="D194" t="inlineStr">
        <is>
          <t>월세</t>
        </is>
      </c>
      <c r="E194" t="inlineStr">
        <is>
          <t>1,000/40</t>
        </is>
      </c>
      <c r="F194" t="inlineStr">
        <is>
          <t>39/37m², B1/3층, 동향</t>
        </is>
      </c>
      <c r="G194" t="inlineStr">
        <is>
          <t>뉴엘리트공인중개사사무소</t>
        </is>
      </c>
      <c r="H194">
        <f>HYPERLINK("https://new.land.naver.com/houses?ms=37.5344483,127.0831475,15&amp;a=VL:DDDGG:JWJT:SGJT:HOJT&amp;e=RETAIL&amp;articleNo=2134569674", "서울시 광진구 자양동 231-16")</f>
        <v/>
      </c>
    </row>
    <row r="195">
      <c r="A195" s="1" t="n">
        <v>0</v>
      </c>
      <c r="B195" t="inlineStr">
        <is>
          <t>서울시 광진구 자양동 669-15</t>
        </is>
      </c>
      <c r="C195" t="inlineStr">
        <is>
          <t>21.12.27.</t>
        </is>
      </c>
      <c r="D195" t="inlineStr">
        <is>
          <t>전세</t>
        </is>
      </c>
      <c r="E195" t="inlineStr">
        <is>
          <t>2억 2,000</t>
        </is>
      </c>
      <c r="F195" t="inlineStr">
        <is>
          <t>23/17m², 5/5층, 남서향</t>
        </is>
      </c>
      <c r="G195" t="inlineStr">
        <is>
          <t>성지공인중개사사무소</t>
        </is>
      </c>
      <c r="H195">
        <f>HYPERLINK("https://new.land.naver.com/houses?ms=37.5344483,127.0831475,15&amp;a=VL:DDDGG:JWJT:SGJT:HOJT&amp;e=RETAIL&amp;articleNo=2134489223", "서울시 광진구 자양동 669-15")</f>
        <v/>
      </c>
    </row>
    <row r="196">
      <c r="A196" s="1" t="n">
        <v>0</v>
      </c>
      <c r="B196" t="inlineStr">
        <is>
          <t>서울시 광진구 자양동 611-17</t>
        </is>
      </c>
      <c r="C196" t="inlineStr">
        <is>
          <t>21.12.10.</t>
        </is>
      </c>
      <c r="D196" t="inlineStr">
        <is>
          <t>매매</t>
        </is>
      </c>
      <c r="E196" t="inlineStr">
        <is>
          <t>25억</t>
        </is>
      </c>
      <c r="F196" t="inlineStr">
        <is>
          <t>150/265m², 5/0층, 남서향</t>
        </is>
      </c>
      <c r="G196" t="inlineStr">
        <is>
          <t>국민마트부동산공인중개사사무소</t>
        </is>
      </c>
      <c r="H196">
        <f>HYPERLINK("https://new.land.naver.com/houses?ms=37.5344483,127.0831475,15&amp;a=VL:DDDGG:JWJT:SGJT:HOJT&amp;e=RETAIL&amp;articleNo=2132901535", "서울시 광진구 자양동 611-17")</f>
        <v/>
      </c>
    </row>
    <row r="197">
      <c r="A197" s="1" t="n">
        <v>0</v>
      </c>
      <c r="B197" t="inlineStr">
        <is>
          <t>서울시 광진구 자양동 593-11</t>
        </is>
      </c>
      <c r="C197" t="inlineStr">
        <is>
          <t>21.12.27.</t>
        </is>
      </c>
      <c r="D197" t="inlineStr">
        <is>
          <t>매매</t>
        </is>
      </c>
      <c r="E197" t="inlineStr">
        <is>
          <t>4억 3,000</t>
        </is>
      </c>
      <c r="F197" t="inlineStr">
        <is>
          <t>48/48m², 2/2층, 남동향</t>
        </is>
      </c>
      <c r="G197" t="inlineStr">
        <is>
          <t>건대123부동산공인중개사사무소</t>
        </is>
      </c>
      <c r="H197">
        <f>HYPERLINK("https://new.land.naver.com/houses?ms=37.5344483,127.0831475,15&amp;a=VL:DDDGG:JWJT:SGJT:HOJT&amp;e=RETAIL&amp;articleNo=2134491483", "서울시 광진구 자양동 593-11")</f>
        <v/>
      </c>
    </row>
    <row r="198">
      <c r="A198" s="1" t="n">
        <v>0</v>
      </c>
      <c r="B198" t="inlineStr">
        <is>
          <t>서울시 광진구 자양동 604-2</t>
        </is>
      </c>
      <c r="C198" t="inlineStr">
        <is>
          <t>21.12.14.</t>
        </is>
      </c>
      <c r="D198" t="inlineStr">
        <is>
          <t>매매</t>
        </is>
      </c>
      <c r="E198" t="inlineStr">
        <is>
          <t>7억</t>
        </is>
      </c>
      <c r="F198" t="inlineStr">
        <is>
          <t>60/51m², 2/6층, 남서향</t>
        </is>
      </c>
      <c r="G198" t="inlineStr">
        <is>
          <t>새우리공인중개사사무소</t>
        </is>
      </c>
      <c r="H198">
        <f>HYPERLINK("https://new.land.naver.com/houses?ms=37.5344483,127.0831475,15&amp;a=VL:DDDGG:JWJT:SGJT:HOJT&amp;e=RETAIL&amp;articleNo=2133203220", "서울시 광진구 자양동 604-2")</f>
        <v/>
      </c>
    </row>
    <row r="199">
      <c r="A199" s="1" t="n">
        <v>0</v>
      </c>
      <c r="B199" t="inlineStr">
        <is>
          <t>서울시 광진구 자양동 12-13</t>
        </is>
      </c>
      <c r="C199" t="inlineStr">
        <is>
          <t>21.12.27.</t>
        </is>
      </c>
      <c r="D199" t="inlineStr">
        <is>
          <t>월세</t>
        </is>
      </c>
      <c r="E199" t="inlineStr">
        <is>
          <t>1,000/85</t>
        </is>
      </c>
      <c r="F199" t="inlineStr">
        <is>
          <t>48/42m², 2/3층, 남동향</t>
        </is>
      </c>
      <c r="G199" t="inlineStr">
        <is>
          <t>황금부동산공인중개사사무소</t>
        </is>
      </c>
      <c r="H199">
        <f>HYPERLINK("https://new.land.naver.com/houses?ms=37.5344483,127.0831475,15&amp;a=VL:DDDGG:JWJT:SGJT:HOJT&amp;e=RETAIL&amp;articleNo=2134479888", "서울시 광진구 자양동 12-13")</f>
        <v/>
      </c>
    </row>
    <row r="200">
      <c r="A200" s="1" t="n">
        <v>0</v>
      </c>
      <c r="B200" t="inlineStr">
        <is>
          <t>서울시 광진구 자양동 4-8</t>
        </is>
      </c>
      <c r="C200" t="inlineStr">
        <is>
          <t>21.12.27.</t>
        </is>
      </c>
      <c r="D200" t="inlineStr">
        <is>
          <t>매매</t>
        </is>
      </c>
      <c r="E200" t="inlineStr">
        <is>
          <t>8억</t>
        </is>
      </c>
      <c r="F200" t="inlineStr">
        <is>
          <t>83/76m², 고/6층, 남동향</t>
        </is>
      </c>
      <c r="G200" t="inlineStr">
        <is>
          <t>우리부동산공인중개사사무소</t>
        </is>
      </c>
      <c r="H200">
        <f>HYPERLINK("https://new.land.naver.com/houses?ms=37.5344483,127.0831475,15&amp;a=VL:DDDGG:JWJT:SGJT:HOJT&amp;e=RETAIL&amp;articleNo=2134478851", "서울시 광진구 자양동 4-8")</f>
        <v/>
      </c>
    </row>
    <row r="201">
      <c r="A201" s="1" t="n">
        <v>0</v>
      </c>
      <c r="B201" t="inlineStr">
        <is>
          <t>서울시 광진구 자양동 652-12</t>
        </is>
      </c>
      <c r="C201" t="inlineStr">
        <is>
          <t>21.12.27.</t>
        </is>
      </c>
      <c r="D201" t="inlineStr">
        <is>
          <t>매매</t>
        </is>
      </c>
      <c r="E201" t="inlineStr">
        <is>
          <t>18억 8,500</t>
        </is>
      </c>
      <c r="F201" t="inlineStr">
        <is>
          <t>178/363m², 3/B1층, 남서향</t>
        </is>
      </c>
      <c r="G201" t="inlineStr">
        <is>
          <t>새우리공인중개사사무소</t>
        </is>
      </c>
      <c r="H201">
        <f>HYPERLINK("https://new.land.naver.com/houses?ms=37.5344483,127.0831475,15&amp;a=VL:DDDGG:JWJT:SGJT:HOJT&amp;e=RETAIL&amp;articleNo=2134476932", "서울시 광진구 자양동 652-12")</f>
        <v/>
      </c>
    </row>
    <row r="202">
      <c r="A202" s="1" t="n">
        <v>0</v>
      </c>
      <c r="B202" t="inlineStr">
        <is>
          <t>서울시 광진구 자양동 654-21</t>
        </is>
      </c>
      <c r="C202" t="inlineStr">
        <is>
          <t>21.12.21.</t>
        </is>
      </c>
      <c r="D202" t="inlineStr">
        <is>
          <t>월세</t>
        </is>
      </c>
      <c r="E202" t="inlineStr">
        <is>
          <t>1억 4,000/70</t>
        </is>
      </c>
      <c r="F202" t="inlineStr">
        <is>
          <t>57/52m², 4/4층, 남서향</t>
        </is>
      </c>
      <c r="G202" t="inlineStr">
        <is>
          <t>우정공인중개사사무소</t>
        </is>
      </c>
      <c r="H202">
        <f>HYPERLINK("https://new.land.naver.com/houses?ms=37.5344483,127.0831475,15&amp;a=VL:DDDGG:JWJT:SGJT:HOJT&amp;e=RETAIL&amp;articleNo=2133969068", "서울시 광진구 자양동 654-21")</f>
        <v/>
      </c>
    </row>
    <row r="203">
      <c r="A203" s="1" t="n">
        <v>0</v>
      </c>
      <c r="B203" t="inlineStr">
        <is>
          <t>서울시 광진구 자양동 771-2</t>
        </is>
      </c>
      <c r="C203" t="inlineStr">
        <is>
          <t>21.12.07.</t>
        </is>
      </c>
      <c r="D203" t="inlineStr">
        <is>
          <t>매매</t>
        </is>
      </c>
      <c r="E203" t="inlineStr">
        <is>
          <t>4억 4,000</t>
        </is>
      </c>
      <c r="F203" t="inlineStr">
        <is>
          <t>48/39m², 4/6층, 남서향</t>
        </is>
      </c>
      <c r="G203" t="inlineStr">
        <is>
          <t>엘리트공인중개사사무소</t>
        </is>
      </c>
      <c r="H203">
        <f>HYPERLINK("https://new.land.naver.com/houses?ms=37.5344483,127.0831475,15&amp;a=VL:DDDGG:JWJT:SGJT:HOJT&amp;e=RETAIL&amp;articleNo=2132429779", "서울시 광진구 자양동 771-2")</f>
        <v/>
      </c>
    </row>
    <row r="204">
      <c r="A204" s="1" t="n">
        <v>0</v>
      </c>
      <c r="B204" t="inlineStr">
        <is>
          <t>서울시 광진구 자양동 617-32</t>
        </is>
      </c>
      <c r="C204" t="inlineStr">
        <is>
          <t>21.12.08.</t>
        </is>
      </c>
      <c r="D204" t="inlineStr">
        <is>
          <t>월세</t>
        </is>
      </c>
      <c r="E204" t="inlineStr">
        <is>
          <t>1억/120</t>
        </is>
      </c>
      <c r="F204" t="inlineStr">
        <is>
          <t>62/62m², 3/4층, 남향</t>
        </is>
      </c>
      <c r="G204" t="inlineStr">
        <is>
          <t>한우리공인중개사사무소</t>
        </is>
      </c>
      <c r="H204">
        <f>HYPERLINK("https://new.land.naver.com/houses?ms=37.5344483,127.0831475,15&amp;a=VL:DDDGG:JWJT:SGJT:HOJT&amp;e=RETAIL&amp;articleNo=2132658426", "서울시 광진구 자양동 617-32")</f>
        <v/>
      </c>
    </row>
    <row r="205">
      <c r="A205" s="1" t="n">
        <v>0</v>
      </c>
      <c r="B205" t="inlineStr">
        <is>
          <t>서울시 광진구 자양동 631-24</t>
        </is>
      </c>
      <c r="C205" t="inlineStr">
        <is>
          <t>21.12.11.</t>
        </is>
      </c>
      <c r="D205" t="inlineStr">
        <is>
          <t>매매</t>
        </is>
      </c>
      <c r="E205" t="inlineStr">
        <is>
          <t>4억 8,000</t>
        </is>
      </c>
      <c r="F205" t="inlineStr">
        <is>
          <t>66/57m², 2/5층, 남서향</t>
        </is>
      </c>
      <c r="G205" t="inlineStr">
        <is>
          <t>우정공인중개사사무소</t>
        </is>
      </c>
      <c r="H205">
        <f>HYPERLINK("https://new.land.naver.com/houses?ms=37.5344483,127.0831475,15&amp;a=VL:DDDGG:JWJT:SGJT:HOJT&amp;e=RETAIL&amp;articleNo=2132977816", "서울시 광진구 자양동 631-24")</f>
        <v/>
      </c>
    </row>
    <row r="206">
      <c r="A206" s="1" t="n">
        <v>0</v>
      </c>
      <c r="B206" t="inlineStr">
        <is>
          <t>서울시 광진구 자양동 597-18</t>
        </is>
      </c>
      <c r="C206" t="inlineStr">
        <is>
          <t>21.12.20.</t>
        </is>
      </c>
      <c r="D206" t="inlineStr">
        <is>
          <t>월세</t>
        </is>
      </c>
      <c r="E206" t="inlineStr">
        <is>
          <t>3,000/100</t>
        </is>
      </c>
      <c r="F206" t="inlineStr">
        <is>
          <t>62/52m², 3/4층, 남향</t>
        </is>
      </c>
      <c r="G206" t="inlineStr">
        <is>
          <t>부동산신화공인중개사사무소</t>
        </is>
      </c>
      <c r="H206">
        <f>HYPERLINK("https://new.land.naver.com/houses?ms=37.5344483,127.0831475,15&amp;a=VL:DDDGG:JWJT:SGJT:HOJT&amp;e=RETAIL&amp;articleNo=2133930663", "서울시 광진구 자양동 597-18")</f>
        <v/>
      </c>
    </row>
    <row r="207">
      <c r="A207" s="1" t="n">
        <v>0</v>
      </c>
      <c r="B207" t="inlineStr">
        <is>
          <t>서울시 광진구 자양동 227-113</t>
        </is>
      </c>
      <c r="C207" t="inlineStr">
        <is>
          <t>21.12.27.</t>
        </is>
      </c>
      <c r="D207" t="inlineStr">
        <is>
          <t>전세</t>
        </is>
      </c>
      <c r="E207" t="inlineStr">
        <is>
          <t>2억 8,000</t>
        </is>
      </c>
      <c r="F207" t="inlineStr">
        <is>
          <t>33/27m², 5/7층, 동향</t>
        </is>
      </c>
      <c r="G207" t="inlineStr">
        <is>
          <t>금빛부동산공인중개사사무소</t>
        </is>
      </c>
      <c r="H207">
        <f>HYPERLINK("https://new.land.naver.com/houses?ms=37.5344483,127.0831475,15&amp;a=VL:DDDGG:JWJT:SGJT:HOJT&amp;e=RETAIL&amp;articleNo=2134453837", "서울시 광진구 자양동 227-113")</f>
        <v/>
      </c>
    </row>
    <row r="208">
      <c r="A208" s="1" t="n">
        <v>0</v>
      </c>
      <c r="B208" t="inlineStr">
        <is>
          <t>서울시 광진구 자양동 227-119</t>
        </is>
      </c>
      <c r="C208" t="inlineStr">
        <is>
          <t>21.12.24.</t>
        </is>
      </c>
      <c r="D208" t="inlineStr">
        <is>
          <t>월세</t>
        </is>
      </c>
      <c r="E208" t="inlineStr">
        <is>
          <t>1,000/43</t>
        </is>
      </c>
      <c r="F208" t="inlineStr">
        <is>
          <t>21/14m², 1/6층, 남서향</t>
        </is>
      </c>
      <c r="G208" t="inlineStr">
        <is>
          <t>윤공인중개사사무소</t>
        </is>
      </c>
      <c r="H208">
        <f>HYPERLINK("https://new.land.naver.com/houses?ms=37.5344483,127.0831475,15&amp;a=VL:DDDGG:JWJT:SGJT:HOJT&amp;e=RETAIL&amp;articleNo=2134391559", "서울시 광진구 자양동 227-119")</f>
        <v/>
      </c>
    </row>
    <row r="209">
      <c r="A209" s="1" t="n">
        <v>0</v>
      </c>
      <c r="B209" t="inlineStr">
        <is>
          <t>서울시 광진구 자양동 612-54</t>
        </is>
      </c>
      <c r="C209" t="inlineStr">
        <is>
          <t>21.12.22.</t>
        </is>
      </c>
      <c r="D209" t="inlineStr">
        <is>
          <t>전세</t>
        </is>
      </c>
      <c r="E209" t="inlineStr">
        <is>
          <t>5억</t>
        </is>
      </c>
      <c r="F209" t="inlineStr">
        <is>
          <t>82/79m², 3/4층, 남동향</t>
        </is>
      </c>
      <c r="G209" t="inlineStr">
        <is>
          <t>부동산스타공인중개사</t>
        </is>
      </c>
      <c r="H209">
        <f>HYPERLINK("https://new.land.naver.com/houses?ms=37.5344483,127.0831475,15&amp;a=VL:DDDGG:JWJT:SGJT:HOJT&amp;e=RETAIL&amp;articleNo=2134195848", "서울시 광진구 자양동 612-54")</f>
        <v/>
      </c>
    </row>
    <row r="210">
      <c r="A210" s="1" t="n">
        <v>0</v>
      </c>
      <c r="B210" t="inlineStr">
        <is>
          <t>서울시 광진구 자양동 772-14</t>
        </is>
      </c>
      <c r="C210" t="inlineStr">
        <is>
          <t>21.12.24.</t>
        </is>
      </c>
      <c r="D210" t="inlineStr">
        <is>
          <t>월세</t>
        </is>
      </c>
      <c r="E210" t="inlineStr">
        <is>
          <t>500/40</t>
        </is>
      </c>
      <c r="F210" t="inlineStr">
        <is>
          <t>18/17m², 2/2층, 남동향</t>
        </is>
      </c>
      <c r="G210" t="inlineStr">
        <is>
          <t>우리부동산공인중개사사무소</t>
        </is>
      </c>
      <c r="H210">
        <f>HYPERLINK("https://new.land.naver.com/houses?ms=37.5344483,127.0831475,15&amp;a=VL:DDDGG:JWJT:SGJT:HOJT&amp;e=RETAIL&amp;articleNo=2134419658", "서울시 광진구 자양동 772-14")</f>
        <v/>
      </c>
    </row>
    <row r="211">
      <c r="A211" s="1" t="n">
        <v>0</v>
      </c>
      <c r="B211" t="inlineStr">
        <is>
          <t>서울시 광진구 자양동 52-200</t>
        </is>
      </c>
      <c r="C211" t="inlineStr">
        <is>
          <t>21.12.24.</t>
        </is>
      </c>
      <c r="D211" t="inlineStr">
        <is>
          <t>전세</t>
        </is>
      </c>
      <c r="E211" t="inlineStr">
        <is>
          <t>2억 7,000</t>
        </is>
      </c>
      <c r="F211" t="inlineStr">
        <is>
          <t>36/30m², 중/6층, 남동향</t>
        </is>
      </c>
      <c r="G211" t="inlineStr">
        <is>
          <t>행운공인중개사사무소</t>
        </is>
      </c>
      <c r="H211">
        <f>HYPERLINK("https://new.land.naver.com/houses?ms=37.5344483,127.0831475,15&amp;a=VL:DDDGG:JWJT:SGJT:HOJT&amp;e=RETAIL&amp;articleNo=2134410280", "서울시 광진구 자양동 52-200")</f>
        <v/>
      </c>
    </row>
    <row r="212">
      <c r="A212" s="1" t="n">
        <v>0</v>
      </c>
      <c r="B212" t="inlineStr">
        <is>
          <t>서울시 광진구 자양동 227-144</t>
        </is>
      </c>
      <c r="C212" t="inlineStr">
        <is>
          <t>21.12.16.</t>
        </is>
      </c>
      <c r="D212" t="inlineStr">
        <is>
          <t>전세</t>
        </is>
      </c>
      <c r="E212" t="inlineStr">
        <is>
          <t>3억</t>
        </is>
      </c>
      <c r="F212" t="inlineStr">
        <is>
          <t>69/40m², 2/7층, 동향</t>
        </is>
      </c>
      <c r="G212" t="inlineStr">
        <is>
          <t>주식회사부동산중개법인수호</t>
        </is>
      </c>
      <c r="H212">
        <f>HYPERLINK("https://new.land.naver.com/houses?ms=37.5344483,127.0831475,15&amp;a=VL:DDDGG:JWJT:SGJT:HOJT&amp;e=RETAIL&amp;articleNo=2133447620", "서울시 광진구 자양동 227-144")</f>
        <v/>
      </c>
    </row>
    <row r="213">
      <c r="A213" s="1" t="n">
        <v>0</v>
      </c>
      <c r="B213" t="inlineStr">
        <is>
          <t>서울시 광진구 자양동 227-78</t>
        </is>
      </c>
      <c r="C213" t="inlineStr">
        <is>
          <t>21.12.06.</t>
        </is>
      </c>
      <c r="D213" t="inlineStr">
        <is>
          <t>매매</t>
        </is>
      </c>
      <c r="E213" t="inlineStr">
        <is>
          <t>3억 6,500</t>
        </is>
      </c>
      <c r="F213" t="inlineStr">
        <is>
          <t>29/29m², 중/7층, 동향</t>
        </is>
      </c>
      <c r="G213" t="inlineStr">
        <is>
          <t>삼성부동산공인중개사사무소</t>
        </is>
      </c>
      <c r="H213">
        <f>HYPERLINK("https://new.land.naver.com/houses?ms=37.5344483,127.0831475,15&amp;a=VL:DDDGG:JWJT:SGJT:HOJT&amp;e=RETAIL&amp;articleNo=2132263838", "서울시 광진구 자양동 227-78")</f>
        <v/>
      </c>
    </row>
    <row r="214">
      <c r="A214" s="1" t="n">
        <v>0</v>
      </c>
      <c r="B214" t="inlineStr">
        <is>
          <t>서울시 광진구 자양동 635-40</t>
        </is>
      </c>
      <c r="C214" t="inlineStr">
        <is>
          <t>21.12.07.</t>
        </is>
      </c>
      <c r="D214" t="inlineStr">
        <is>
          <t>월세</t>
        </is>
      </c>
      <c r="E214" t="inlineStr">
        <is>
          <t>1억 1,000/20</t>
        </is>
      </c>
      <c r="F214" t="inlineStr">
        <is>
          <t>38/38m², 1/2층, 동향</t>
        </is>
      </c>
      <c r="G214" t="inlineStr">
        <is>
          <t>보성공인중개사사무소</t>
        </is>
      </c>
      <c r="H214">
        <f>HYPERLINK("https://new.land.naver.com/houses?ms=37.5344483,127.0831475,15&amp;a=VL:DDDGG:JWJT:SGJT:HOJT&amp;e=RETAIL&amp;articleNo=2132533782", "서울시 광진구 자양동 635-40")</f>
        <v/>
      </c>
    </row>
    <row r="215">
      <c r="A215" s="1" t="n">
        <v>0</v>
      </c>
      <c r="B215" t="inlineStr">
        <is>
          <t>서울시 광진구 자양동 230-34</t>
        </is>
      </c>
      <c r="C215" t="inlineStr">
        <is>
          <t>21.12.22.</t>
        </is>
      </c>
      <c r="D215" t="inlineStr">
        <is>
          <t>매매</t>
        </is>
      </c>
      <c r="E215" t="inlineStr">
        <is>
          <t>3억 2,000</t>
        </is>
      </c>
      <c r="F215" t="inlineStr">
        <is>
          <t>40/29m², 2/6층, 동향</t>
        </is>
      </c>
      <c r="G215" t="inlineStr">
        <is>
          <t>삼성공인중개사사무소</t>
        </is>
      </c>
      <c r="H215">
        <f>HYPERLINK("https://new.land.naver.com/houses?ms=37.5344483,127.0831475,15&amp;a=VL:DDDGG:JWJT:SGJT:HOJT&amp;e=RETAIL&amp;articleNo=2134178275", "서울시 광진구 자양동 230-34")</f>
        <v/>
      </c>
    </row>
    <row r="216">
      <c r="A216" s="1" t="n">
        <v>0</v>
      </c>
      <c r="B216" t="inlineStr">
        <is>
          <t>서울시 광진구 자양동 773-5</t>
        </is>
      </c>
      <c r="C216" t="inlineStr">
        <is>
          <t>21.12.24.</t>
        </is>
      </c>
      <c r="D216" t="inlineStr">
        <is>
          <t>월세</t>
        </is>
      </c>
      <c r="E216" t="inlineStr">
        <is>
          <t>500/40</t>
        </is>
      </c>
      <c r="F216" t="inlineStr">
        <is>
          <t>19/17m², 1/2층, 남향</t>
        </is>
      </c>
      <c r="G216" t="inlineStr">
        <is>
          <t>우리부동산공인중개사사무소</t>
        </is>
      </c>
      <c r="H216">
        <f>HYPERLINK("https://new.land.naver.com/houses?ms=37.5344483,127.0831475,15&amp;a=VL:DDDGG:JWJT:SGJT:HOJT&amp;e=RETAIL&amp;articleNo=2134310546", "서울시 광진구 자양동 773-5")</f>
        <v/>
      </c>
    </row>
    <row r="217">
      <c r="A217" s="1" t="n">
        <v>0</v>
      </c>
      <c r="B217" t="inlineStr">
        <is>
          <t>서울시 광진구 자양동 844-2</t>
        </is>
      </c>
      <c r="C217" t="inlineStr">
        <is>
          <t>21.12.24.</t>
        </is>
      </c>
      <c r="D217" t="inlineStr">
        <is>
          <t>전세</t>
        </is>
      </c>
      <c r="E217" t="inlineStr">
        <is>
          <t>3억</t>
        </is>
      </c>
      <c r="F217" t="inlineStr">
        <is>
          <t>42/42m², 3/6층, 북서향</t>
        </is>
      </c>
      <c r="G217" t="inlineStr">
        <is>
          <t>엘리트공인중개사사무소</t>
        </is>
      </c>
      <c r="H217">
        <f>HYPERLINK("https://new.land.naver.com/houses?ms=37.5344483,127.0831475,15&amp;a=VL:DDDGG:JWJT:SGJT:HOJT&amp;e=RETAIL&amp;articleNo=2134309378", "서울시 광진구 자양동 844-2")</f>
        <v/>
      </c>
    </row>
    <row r="218">
      <c r="A218" s="1" t="n">
        <v>0</v>
      </c>
      <c r="B218" t="inlineStr">
        <is>
          <t>서울시 광진구 자양동 655-44</t>
        </is>
      </c>
      <c r="C218" t="inlineStr">
        <is>
          <t>21.12.23.</t>
        </is>
      </c>
      <c r="D218" t="inlineStr">
        <is>
          <t>전세</t>
        </is>
      </c>
      <c r="E218" t="inlineStr">
        <is>
          <t>2억 4,000</t>
        </is>
      </c>
      <c r="F218" t="inlineStr">
        <is>
          <t>52/42m², 2/5층, 남서향</t>
        </is>
      </c>
      <c r="G218" t="inlineStr">
        <is>
          <t>무궁화공인중개사사무소</t>
        </is>
      </c>
      <c r="H218">
        <f>HYPERLINK("https://new.land.naver.com/houses?ms=37.5344483,127.0831475,15&amp;a=VL:DDDGG:JWJT:SGJT:HOJT&amp;e=RETAIL&amp;articleNo=2134284824", "서울시 광진구 자양동 655-44")</f>
        <v/>
      </c>
    </row>
    <row r="219">
      <c r="A219" s="1" t="n">
        <v>0</v>
      </c>
      <c r="B219" t="inlineStr">
        <is>
          <t>서울시 광진구 자양동 57-24</t>
        </is>
      </c>
      <c r="C219" t="inlineStr">
        <is>
          <t>21.12.23.</t>
        </is>
      </c>
      <c r="D219" t="inlineStr">
        <is>
          <t>월세</t>
        </is>
      </c>
      <c r="E219" t="inlineStr">
        <is>
          <t>8,000/60</t>
        </is>
      </c>
      <c r="F219" t="inlineStr">
        <is>
          <t>110/45m², 1/2층, 남향</t>
        </is>
      </c>
      <c r="G219" t="inlineStr">
        <is>
          <t>이튼타워공인중개사사무소</t>
        </is>
      </c>
      <c r="H219">
        <f>HYPERLINK("https://new.land.naver.com/houses?ms=37.5344483,127.0831475,15&amp;a=VL:DDDGG:JWJT:SGJT:HOJT&amp;e=RETAIL&amp;articleNo=2134274301", "서울시 광진구 자양동 57-24")</f>
        <v/>
      </c>
    </row>
    <row r="220">
      <c r="A220" s="1" t="n">
        <v>0</v>
      </c>
      <c r="B220" t="inlineStr">
        <is>
          <t>서울시 광진구 자양동 677-18</t>
        </is>
      </c>
      <c r="C220" t="inlineStr">
        <is>
          <t>21.12.09.</t>
        </is>
      </c>
      <c r="D220" t="inlineStr">
        <is>
          <t>전세</t>
        </is>
      </c>
      <c r="E220" t="inlineStr">
        <is>
          <t>6억 5,000</t>
        </is>
      </c>
      <c r="F220" t="inlineStr">
        <is>
          <t>150/140m², 4/5층, 남향</t>
        </is>
      </c>
      <c r="G220" t="inlineStr">
        <is>
          <t>국민부동산공인중개사사무소</t>
        </is>
      </c>
      <c r="H220">
        <f>HYPERLINK("https://new.land.naver.com/houses?ms=37.5344483,127.0831475,15&amp;a=VL:DDDGG:JWJT:SGJT:HOJT&amp;e=RETAIL&amp;articleNo=2132820828", "서울시 광진구 자양동 677-18")</f>
        <v/>
      </c>
    </row>
    <row r="221">
      <c r="A221" s="1" t="n">
        <v>0</v>
      </c>
      <c r="B221" t="inlineStr">
        <is>
          <t>서울시 광진구 자양동 685-3</t>
        </is>
      </c>
      <c r="C221" t="inlineStr">
        <is>
          <t>21.12.23.</t>
        </is>
      </c>
      <c r="D221" t="inlineStr">
        <is>
          <t>월세</t>
        </is>
      </c>
      <c r="E221" t="inlineStr">
        <is>
          <t>5,000/120</t>
        </is>
      </c>
      <c r="F221" t="inlineStr">
        <is>
          <t>57/57m², 3/4층, 남서향</t>
        </is>
      </c>
      <c r="G221" t="inlineStr">
        <is>
          <t>우방공인중개사사무소</t>
        </is>
      </c>
      <c r="H221">
        <f>HYPERLINK("https://new.land.naver.com/houses?ms=37.5344483,127.0831475,15&amp;a=VL:DDDGG:JWJT:SGJT:HOJT&amp;e=RETAIL&amp;articleNo=2134242171", "서울시 광진구 자양동 685-3")</f>
        <v/>
      </c>
    </row>
    <row r="222">
      <c r="A222" s="1" t="n">
        <v>0</v>
      </c>
      <c r="B222" t="inlineStr">
        <is>
          <t>서울시 광진구 자양동 643-10</t>
        </is>
      </c>
      <c r="C222" t="inlineStr">
        <is>
          <t>21.12.23.</t>
        </is>
      </c>
      <c r="D222" t="inlineStr">
        <is>
          <t>월세</t>
        </is>
      </c>
      <c r="E222" t="inlineStr">
        <is>
          <t>1,000/56</t>
        </is>
      </c>
      <c r="F222" t="inlineStr">
        <is>
          <t>27/27m², 4/6층, 동향</t>
        </is>
      </c>
      <c r="G222" t="inlineStr">
        <is>
          <t>에덴부동산중개인사무소</t>
        </is>
      </c>
      <c r="H222">
        <f>HYPERLINK("https://new.land.naver.com/houses?ms=37.5344483,127.0831475,15&amp;a=VL:DDDGG:JWJT:SGJT:HOJT&amp;e=RETAIL&amp;articleNo=2134286206", "서울시 광진구 자양동 643-10")</f>
        <v/>
      </c>
    </row>
    <row r="223">
      <c r="A223" s="1" t="n">
        <v>0</v>
      </c>
      <c r="B223" t="inlineStr">
        <is>
          <t>서울시 광진구 자양동 477-2</t>
        </is>
      </c>
      <c r="C223" t="inlineStr">
        <is>
          <t>21.12.23.</t>
        </is>
      </c>
      <c r="D223" t="inlineStr">
        <is>
          <t>매매</t>
        </is>
      </c>
      <c r="E223" t="inlineStr">
        <is>
          <t>17억 5,000</t>
        </is>
      </c>
      <c r="F223" t="inlineStr">
        <is>
          <t>62/47m², 2/3층, 남동향</t>
        </is>
      </c>
      <c r="G223" t="inlineStr">
        <is>
          <t>우방공인중개사사무소</t>
        </is>
      </c>
      <c r="H223">
        <f>HYPERLINK("https://new.land.naver.com/houses?ms=37.5344483,127.0831475,15&amp;a=VL:DDDGG:JWJT:SGJT:HOJT&amp;e=RETAIL&amp;articleNo=2134281950", "서울시 광진구 자양동 477-2")</f>
        <v/>
      </c>
    </row>
    <row r="224">
      <c r="A224" s="1" t="n">
        <v>0</v>
      </c>
      <c r="B224" t="inlineStr">
        <is>
          <t>서울시 광진구 자양동 618-7</t>
        </is>
      </c>
      <c r="C224" t="inlineStr">
        <is>
          <t>21.12.23.</t>
        </is>
      </c>
      <c r="D224" t="inlineStr">
        <is>
          <t>월세</t>
        </is>
      </c>
      <c r="E224" t="inlineStr">
        <is>
          <t>2,000/70</t>
        </is>
      </c>
      <c r="F224" t="inlineStr">
        <is>
          <t>46/40m², 2/4층, 동향</t>
        </is>
      </c>
      <c r="G224" t="inlineStr">
        <is>
          <t>부동산스타 공인중개사 사무소</t>
        </is>
      </c>
      <c r="H224">
        <f>HYPERLINK("https://new.land.naver.com/houses?ms=37.5344483,127.0831475,15&amp;a=VL:DDDGG:JWJT:SGJT:HOJT&amp;e=RETAIL&amp;articleNo=2134271626", "서울시 광진구 자양동 618-7")</f>
        <v/>
      </c>
    </row>
    <row r="225">
      <c r="A225" s="1" t="n">
        <v>0</v>
      </c>
      <c r="B225" t="inlineStr">
        <is>
          <t>서울시 광진구 자양동 218-28</t>
        </is>
      </c>
      <c r="C225" t="inlineStr">
        <is>
          <t>21.12.23.</t>
        </is>
      </c>
      <c r="D225" t="inlineStr">
        <is>
          <t>매매</t>
        </is>
      </c>
      <c r="E225" t="inlineStr">
        <is>
          <t>12억</t>
        </is>
      </c>
      <c r="F225" t="inlineStr">
        <is>
          <t>139/135m², 2/B1층, 남향</t>
        </is>
      </c>
      <c r="G225" t="inlineStr">
        <is>
          <t>부동산신화공인중개사</t>
        </is>
      </c>
      <c r="H225">
        <f>HYPERLINK("https://new.land.naver.com/houses?ms=37.5344483,127.0831475,15&amp;a=VL:DDDGG:JWJT:SGJT:HOJT&amp;e=RETAIL&amp;articleNo=2134269673", "서울시 광진구 자양동 218-28")</f>
        <v/>
      </c>
    </row>
    <row r="226">
      <c r="A226" s="1" t="n">
        <v>0</v>
      </c>
      <c r="B226" t="inlineStr">
        <is>
          <t>서울시 광진구 자양동 588-18</t>
        </is>
      </c>
      <c r="C226" t="inlineStr">
        <is>
          <t>21.12.06.</t>
        </is>
      </c>
      <c r="D226" t="inlineStr">
        <is>
          <t>매매</t>
        </is>
      </c>
      <c r="E226" t="inlineStr">
        <is>
          <t>15억 4,000</t>
        </is>
      </c>
      <c r="F226" t="inlineStr">
        <is>
          <t>169/117m², 2/B1층, 북동향</t>
        </is>
      </c>
      <c r="G226" t="inlineStr">
        <is>
          <t>삼성부동산공인중개사사무소</t>
        </is>
      </c>
      <c r="H226">
        <f>HYPERLINK("https://new.land.naver.com/houses?ms=37.5344483,127.0831475,15&amp;a=VL:DDDGG:JWJT:SGJT:HOJT&amp;e=RETAIL&amp;articleNo=2132263666", "서울시 광진구 자양동 588-18")</f>
        <v/>
      </c>
    </row>
    <row r="227">
      <c r="A227" s="1" t="n">
        <v>0</v>
      </c>
      <c r="B227" t="inlineStr">
        <is>
          <t>서울시 광진구 자양동 596-8</t>
        </is>
      </c>
      <c r="C227" t="inlineStr">
        <is>
          <t>21.12.23.</t>
        </is>
      </c>
      <c r="D227" t="inlineStr">
        <is>
          <t>매매</t>
        </is>
      </c>
      <c r="E227" t="inlineStr">
        <is>
          <t>2억 6,000</t>
        </is>
      </c>
      <c r="F227" t="inlineStr">
        <is>
          <t>42/38m², 2/5층, 동향</t>
        </is>
      </c>
      <c r="G227" t="inlineStr">
        <is>
          <t>영진부동산공인중개사사무소</t>
        </is>
      </c>
      <c r="H227">
        <f>HYPERLINK("https://new.land.naver.com/houses?ms=37.5344483,127.0831475,15&amp;a=VL:DDDGG:JWJT:SGJT:HOJT&amp;e=RETAIL&amp;articleNo=2134262416", "서울시 광진구 자양동 596-8")</f>
        <v/>
      </c>
    </row>
    <row r="228">
      <c r="A228" s="1" t="n">
        <v>0</v>
      </c>
      <c r="B228" t="inlineStr">
        <is>
          <t>서울시 광진구 자양동 217-15</t>
        </is>
      </c>
      <c r="C228" t="inlineStr">
        <is>
          <t>21.12.23.</t>
        </is>
      </c>
      <c r="D228" t="inlineStr">
        <is>
          <t>월세</t>
        </is>
      </c>
      <c r="E228" t="inlineStr">
        <is>
          <t>1,000/60</t>
        </is>
      </c>
      <c r="F228" t="inlineStr">
        <is>
          <t>24/24m², 2/5층, 동향</t>
        </is>
      </c>
      <c r="G228" t="inlineStr">
        <is>
          <t>태영부동산 공인중개사사무소</t>
        </is>
      </c>
      <c r="H228">
        <f>HYPERLINK("https://new.land.naver.com/houses?ms=37.5344483,127.0831475,15&amp;a=VL:DDDGG:JWJT:SGJT:HOJT&amp;e=RETAIL&amp;articleNo=2134261980", "서울시 광진구 자양동 217-15")</f>
        <v/>
      </c>
    </row>
    <row r="229">
      <c r="A229" s="1" t="n">
        <v>0</v>
      </c>
      <c r="B229" t="inlineStr">
        <is>
          <t>서울시 광진구 자양동 222-15</t>
        </is>
      </c>
      <c r="C229" t="inlineStr">
        <is>
          <t>21.12.23.</t>
        </is>
      </c>
      <c r="D229" t="inlineStr">
        <is>
          <t>전세</t>
        </is>
      </c>
      <c r="E229" t="inlineStr">
        <is>
          <t>8,000</t>
        </is>
      </c>
      <c r="F229" t="inlineStr">
        <is>
          <t>87/23m², B1/3층, 남서향</t>
        </is>
      </c>
      <c r="G229" t="inlineStr">
        <is>
          <t>미래공인중개사사무소</t>
        </is>
      </c>
      <c r="H229">
        <f>HYPERLINK("https://new.land.naver.com/houses?ms=37.5344483,127.0831475,15&amp;a=VL:DDDGG:JWJT:SGJT:HOJT&amp;e=RETAIL&amp;articleNo=2134259195", "서울시 광진구 자양동 222-15")</f>
        <v/>
      </c>
    </row>
    <row r="230">
      <c r="A230" s="1" t="n">
        <v>0</v>
      </c>
      <c r="B230" t="inlineStr">
        <is>
          <t>서울시 광진구 자양동 589-21</t>
        </is>
      </c>
      <c r="C230" t="inlineStr">
        <is>
          <t>21.12.23.</t>
        </is>
      </c>
      <c r="D230" t="inlineStr">
        <is>
          <t>매매</t>
        </is>
      </c>
      <c r="E230" t="inlineStr">
        <is>
          <t>4억 2,000</t>
        </is>
      </c>
      <c r="F230" t="inlineStr">
        <is>
          <t>27/23m², 3/6층, 동향</t>
        </is>
      </c>
      <c r="G230" t="inlineStr">
        <is>
          <t>우정공인중개사사무소</t>
        </is>
      </c>
      <c r="H230">
        <f>HYPERLINK("https://new.land.naver.com/houses?ms=37.5344483,127.0831475,15&amp;a=VL:DDDGG:JWJT:SGJT:HOJT&amp;e=RETAIL&amp;articleNo=2134259005", "서울시 광진구 자양동 589-21")</f>
        <v/>
      </c>
    </row>
    <row r="231">
      <c r="A231" s="1" t="n">
        <v>0</v>
      </c>
      <c r="B231" t="inlineStr">
        <is>
          <t>서울시 광진구 자양동 616-24</t>
        </is>
      </c>
      <c r="C231" t="inlineStr">
        <is>
          <t>21.12.07.</t>
        </is>
      </c>
      <c r="D231" t="inlineStr">
        <is>
          <t>월세</t>
        </is>
      </c>
      <c r="E231" t="inlineStr">
        <is>
          <t>1억 7,000/50</t>
        </is>
      </c>
      <c r="F231" t="inlineStr">
        <is>
          <t>37/30m², 3/5층, 남서향</t>
        </is>
      </c>
      <c r="G231" t="inlineStr">
        <is>
          <t>미래공인중개사사무소</t>
        </is>
      </c>
      <c r="H231">
        <f>HYPERLINK("https://new.land.naver.com/houses?ms=37.5344483,127.0831475,15&amp;a=VL:DDDGG:JWJT:SGJT:HOJT&amp;e=RETAIL&amp;articleNo=2132512075", "서울시 광진구 자양동 616-24")</f>
        <v/>
      </c>
    </row>
    <row r="232">
      <c r="A232" s="1" t="n">
        <v>0</v>
      </c>
      <c r="B232" t="inlineStr">
        <is>
          <t>서울시 광진구 자양동 615-31</t>
        </is>
      </c>
      <c r="C232" t="inlineStr">
        <is>
          <t>21.12.23.</t>
        </is>
      </c>
      <c r="D232" t="inlineStr">
        <is>
          <t>매매</t>
        </is>
      </c>
      <c r="E232" t="inlineStr">
        <is>
          <t>11억 7,000</t>
        </is>
      </c>
      <c r="F232" t="inlineStr">
        <is>
          <t>139/128m², 2/B1층, 남동향</t>
        </is>
      </c>
      <c r="G232" t="inlineStr">
        <is>
          <t>대호공인중개사사무소</t>
        </is>
      </c>
      <c r="H232">
        <f>HYPERLINK("https://new.land.naver.com/houses?ms=37.5344483,127.0831475,15&amp;a=VL:DDDGG:JWJT:SGJT:HOJT&amp;e=RETAIL&amp;articleNo=2134247296", "서울시 광진구 자양동 615-31")</f>
        <v/>
      </c>
    </row>
    <row r="233">
      <c r="A233" s="1" t="n">
        <v>0</v>
      </c>
      <c r="B233" t="inlineStr">
        <is>
          <t>서울시 광진구 자양동 210-33</t>
        </is>
      </c>
      <c r="C233" t="inlineStr">
        <is>
          <t>21.12.13.</t>
        </is>
      </c>
      <c r="D233" t="inlineStr">
        <is>
          <t>월세</t>
        </is>
      </c>
      <c r="E233" t="inlineStr">
        <is>
          <t>1억/70</t>
        </is>
      </c>
      <c r="F233" t="inlineStr">
        <is>
          <t>54/52m², 1/1층, 남향</t>
        </is>
      </c>
      <c r="G233" t="inlineStr">
        <is>
          <t>윤공인중개사사무소</t>
        </is>
      </c>
      <c r="H233">
        <f>HYPERLINK("https://new.land.naver.com/houses?ms=37.5344483,127.0831475,15&amp;a=VL:DDDGG:JWJT:SGJT:HOJT&amp;e=RETAIL&amp;articleNo=2133133497", "서울시 광진구 자양동 210-33")</f>
        <v/>
      </c>
    </row>
    <row r="234">
      <c r="A234" s="1" t="n">
        <v>0</v>
      </c>
      <c r="B234" t="inlineStr">
        <is>
          <t>서울시 광진구 자양동 637-34</t>
        </is>
      </c>
      <c r="C234" t="inlineStr">
        <is>
          <t>21.12.21.</t>
        </is>
      </c>
      <c r="D234" t="inlineStr">
        <is>
          <t>월세</t>
        </is>
      </c>
      <c r="E234" t="inlineStr">
        <is>
          <t>1,000/40</t>
        </is>
      </c>
      <c r="F234" t="inlineStr">
        <is>
          <t>34/34m², B1/3층, 남서향</t>
        </is>
      </c>
      <c r="G234" t="inlineStr">
        <is>
          <t>세종부동산</t>
        </is>
      </c>
      <c r="H234">
        <f>HYPERLINK("https://new.land.naver.com/houses?ms=37.5344483,127.0831475,15&amp;a=VL:DDDGG:JWJT:SGJT:HOJT&amp;e=RETAIL&amp;articleNo=2134020711", "서울시 광진구 자양동 637-34")</f>
        <v/>
      </c>
    </row>
    <row r="235">
      <c r="A235" s="1" t="n">
        <v>0</v>
      </c>
      <c r="B235" t="inlineStr">
        <is>
          <t>서울시 광진구 자양동 604-27</t>
        </is>
      </c>
      <c r="C235" t="inlineStr">
        <is>
          <t>21.12.16.</t>
        </is>
      </c>
      <c r="D235" t="inlineStr">
        <is>
          <t>전세</t>
        </is>
      </c>
      <c r="E235" t="inlineStr">
        <is>
          <t>1억 8,000</t>
        </is>
      </c>
      <c r="F235" t="inlineStr">
        <is>
          <t>44/40m², 저/4층, 북동향</t>
        </is>
      </c>
      <c r="G235" t="inlineStr">
        <is>
          <t>무궁화공인중개사사무소</t>
        </is>
      </c>
      <c r="H235">
        <f>HYPERLINK("https://new.land.naver.com/houses?ms=37.5344483,127.0831475,15&amp;a=VL:DDDGG:JWJT:SGJT:HOJT&amp;e=RETAIL&amp;articleNo=2133556782", "서울시 광진구 자양동 604-27")</f>
        <v/>
      </c>
    </row>
    <row r="236">
      <c r="A236" s="1" t="n">
        <v>0</v>
      </c>
      <c r="B236" t="inlineStr">
        <is>
          <t>서울시 광진구 자양동 620-1</t>
        </is>
      </c>
      <c r="C236" t="inlineStr">
        <is>
          <t>21.12.06.</t>
        </is>
      </c>
      <c r="D236" t="inlineStr">
        <is>
          <t>전세</t>
        </is>
      </c>
      <c r="E236" t="inlineStr">
        <is>
          <t>2억 5,000</t>
        </is>
      </c>
      <c r="F236" t="inlineStr">
        <is>
          <t>45/38m², 3/5층, 남향</t>
        </is>
      </c>
      <c r="G236" t="inlineStr">
        <is>
          <t>안재훈공인중개사사무소</t>
        </is>
      </c>
      <c r="H236">
        <f>HYPERLINK("https://new.land.naver.com/houses?ms=37.5344483,127.0831475,15&amp;a=VL:DDDGG:JWJT:SGJT:HOJT&amp;e=RETAIL&amp;articleNo=2132312325", "서울시 광진구 자양동 620-1")</f>
        <v/>
      </c>
    </row>
    <row r="237">
      <c r="A237" s="1" t="n">
        <v>0</v>
      </c>
      <c r="B237" t="inlineStr">
        <is>
          <t>서울시 광진구 자양동 78-40</t>
        </is>
      </c>
      <c r="C237" t="inlineStr">
        <is>
          <t>21.12.09.</t>
        </is>
      </c>
      <c r="D237" t="inlineStr">
        <is>
          <t>매매</t>
        </is>
      </c>
      <c r="E237" t="inlineStr">
        <is>
          <t>23억 1,000</t>
        </is>
      </c>
      <c r="F237" t="inlineStr">
        <is>
          <t>109/282m², 4/B1층, 북향</t>
        </is>
      </c>
      <c r="G237" t="inlineStr">
        <is>
          <t>시티공인중개사사무소</t>
        </is>
      </c>
      <c r="H237">
        <f>HYPERLINK("https://new.land.naver.com/houses?ms=37.5344483,127.0831475,15&amp;a=VL:DDDGG:JWJT:SGJT:HOJT&amp;e=RETAIL&amp;articleNo=2132699028", "서울시 광진구 자양동 78-40")</f>
        <v/>
      </c>
    </row>
    <row r="238">
      <c r="A238" s="1" t="n">
        <v>0</v>
      </c>
      <c r="B238" t="inlineStr">
        <is>
          <t>서울시 광진구 자양동 649-13</t>
        </is>
      </c>
      <c r="C238" t="inlineStr">
        <is>
          <t>21.12.20.</t>
        </is>
      </c>
      <c r="D238" t="inlineStr">
        <is>
          <t>전세</t>
        </is>
      </c>
      <c r="E238" t="inlineStr">
        <is>
          <t>3억 9,000</t>
        </is>
      </c>
      <c r="F238" t="inlineStr">
        <is>
          <t>60/59m², 3/4층, 남향</t>
        </is>
      </c>
      <c r="G238" t="inlineStr">
        <is>
          <t>국민부동산공인중개사사무소</t>
        </is>
      </c>
      <c r="H238">
        <f>HYPERLINK("https://new.land.naver.com/houses?ms=37.5344483,127.0831475,15&amp;a=VL:DDDGG:JWJT:SGJT:HOJT&amp;e=RETAIL&amp;articleNo=2133958614", "서울시 광진구 자양동 649-13")</f>
        <v/>
      </c>
    </row>
    <row r="239">
      <c r="A239" s="1" t="n">
        <v>0</v>
      </c>
      <c r="B239" t="inlineStr">
        <is>
          <t>서울시 광진구 자양동 598-32</t>
        </is>
      </c>
      <c r="C239" t="inlineStr">
        <is>
          <t>21.12.11.</t>
        </is>
      </c>
      <c r="D239" t="inlineStr">
        <is>
          <t>매매</t>
        </is>
      </c>
      <c r="E239" t="inlineStr">
        <is>
          <t>3억</t>
        </is>
      </c>
      <c r="F239" t="inlineStr">
        <is>
          <t>26/21m², 5/5층, 남동향</t>
        </is>
      </c>
      <c r="G239" t="inlineStr">
        <is>
          <t>어울림공인중개사사무소</t>
        </is>
      </c>
      <c r="H239">
        <f>HYPERLINK("https://new.land.naver.com/houses?ms=37.5344483,127.0831475,15&amp;a=VL:DDDGG:JWJT:SGJT:HOJT&amp;e=RETAIL&amp;articleNo=2133001218", "서울시 광진구 자양동 598-32")</f>
        <v/>
      </c>
    </row>
    <row r="240">
      <c r="A240" s="1" t="n">
        <v>0</v>
      </c>
      <c r="B240" t="inlineStr">
        <is>
          <t>서울시 광진구 자양동 803-4</t>
        </is>
      </c>
      <c r="C240" t="inlineStr">
        <is>
          <t>21.12.17.</t>
        </is>
      </c>
      <c r="D240" t="inlineStr">
        <is>
          <t>매매</t>
        </is>
      </c>
      <c r="E240" t="inlineStr">
        <is>
          <t>6억 1,800</t>
        </is>
      </c>
      <c r="F240" t="inlineStr">
        <is>
          <t>72/58m², 중/6층, 동향</t>
        </is>
      </c>
      <c r="G240" t="inlineStr">
        <is>
          <t>와우부동산공인중개사사무소</t>
        </is>
      </c>
      <c r="H240">
        <f>HYPERLINK("https://new.land.naver.com/houses?ms=37.5344483,127.0831475,15&amp;a=VL:DDDGG:JWJT:SGJT:HOJT&amp;e=RETAIL&amp;articleNo=2133574985", "서울시 광진구 자양동 803-4")</f>
        <v/>
      </c>
    </row>
    <row r="241">
      <c r="A241" s="1" t="n">
        <v>0</v>
      </c>
      <c r="B241" t="inlineStr">
        <is>
          <t>서울시 광진구 자양동 647-14</t>
        </is>
      </c>
      <c r="C241" t="inlineStr">
        <is>
          <t>21.12.22.</t>
        </is>
      </c>
      <c r="D241" t="inlineStr">
        <is>
          <t>매매</t>
        </is>
      </c>
      <c r="E241" t="inlineStr">
        <is>
          <t>15억 6,450</t>
        </is>
      </c>
      <c r="F241" t="inlineStr">
        <is>
          <t>147/159m², 2/B1층, 남향</t>
        </is>
      </c>
      <c r="G241" t="inlineStr">
        <is>
          <t>부동산신화공인중개사</t>
        </is>
      </c>
      <c r="H241">
        <f>HYPERLINK("https://new.land.naver.com/houses?ms=37.5344483,127.0831475,15&amp;a=VL:DDDGG:JWJT:SGJT:HOJT&amp;e=RETAIL&amp;articleNo=2134173966", "서울시 광진구 자양동 647-14")</f>
        <v/>
      </c>
    </row>
    <row r="242">
      <c r="A242" s="1" t="n">
        <v>0</v>
      </c>
      <c r="B242" t="inlineStr">
        <is>
          <t>서울시 광진구 자양동 600-32</t>
        </is>
      </c>
      <c r="C242" t="inlineStr">
        <is>
          <t>21.12.06.</t>
        </is>
      </c>
      <c r="D242" t="inlineStr">
        <is>
          <t>월세</t>
        </is>
      </c>
      <c r="E242" t="inlineStr">
        <is>
          <t>3,000/75</t>
        </is>
      </c>
      <c r="F242" t="inlineStr">
        <is>
          <t>63/60m², 3/4층, 남서향</t>
        </is>
      </c>
      <c r="G242" t="inlineStr">
        <is>
          <t>새우리공인중개사사무소</t>
        </is>
      </c>
      <c r="H242">
        <f>HYPERLINK("https://new.land.naver.com/houses?ms=37.5344483,127.0831475,15&amp;a=VL:DDDGG:JWJT:SGJT:HOJT&amp;e=RETAIL&amp;articleNo=2132250375", "서울시 광진구 자양동 600-32")</f>
        <v/>
      </c>
    </row>
    <row r="243">
      <c r="A243" s="1" t="n">
        <v>0</v>
      </c>
      <c r="B243" t="inlineStr">
        <is>
          <t>서울시 광진구 자양동 646-7</t>
        </is>
      </c>
      <c r="C243" t="inlineStr">
        <is>
          <t>21.12.29.</t>
        </is>
      </c>
      <c r="D243" t="inlineStr">
        <is>
          <t>월세</t>
        </is>
      </c>
      <c r="E243" t="inlineStr">
        <is>
          <t>1억 5,000/200</t>
        </is>
      </c>
      <c r="F243" t="inlineStr">
        <is>
          <t>103/95m², 4/4층, 북향</t>
        </is>
      </c>
      <c r="G243" t="inlineStr">
        <is>
          <t>태양공인중개사사무소</t>
        </is>
      </c>
      <c r="H243">
        <f>HYPERLINK("https://new.land.naver.com/houses?ms=37.5344483,127.0831475,15&amp;a=VL:DDDGG:JWJT:SGJT:HOJT&amp;e=RETAIL&amp;articleNo=2134767858", "서울시 광진구 자양동 646-7")</f>
        <v/>
      </c>
    </row>
    <row r="244">
      <c r="A244" s="1" t="n">
        <v>0</v>
      </c>
      <c r="B244" t="inlineStr">
        <is>
          <t>서울시 광진구 자양동 767-3</t>
        </is>
      </c>
      <c r="C244" t="inlineStr">
        <is>
          <t>21.12.22.</t>
        </is>
      </c>
      <c r="D244" t="inlineStr">
        <is>
          <t>매매</t>
        </is>
      </c>
      <c r="E244" t="inlineStr">
        <is>
          <t>15억</t>
        </is>
      </c>
      <c r="F244" t="inlineStr">
        <is>
          <t>114/114m², 1/3층, 남동향</t>
        </is>
      </c>
      <c r="G244" t="inlineStr">
        <is>
          <t>명진공인중개사</t>
        </is>
      </c>
      <c r="H244">
        <f>HYPERLINK("https://new.land.naver.com/houses?ms=37.5344483,127.0831475,15&amp;a=VL:DDDGG:JWJT:SGJT:HOJT&amp;e=RETAIL&amp;articleNo=2134142540", "서울시 광진구 자양동 767-3")</f>
        <v/>
      </c>
    </row>
    <row r="245">
      <c r="A245" s="1" t="n">
        <v>0</v>
      </c>
      <c r="B245" t="inlineStr">
        <is>
          <t>서울시 광진구 자양동 680-6</t>
        </is>
      </c>
      <c r="C245" t="inlineStr">
        <is>
          <t>21.12.08.</t>
        </is>
      </c>
      <c r="D245" t="inlineStr">
        <is>
          <t>전세</t>
        </is>
      </c>
      <c r="E245" t="inlineStr">
        <is>
          <t>2억 4,000</t>
        </is>
      </c>
      <c r="F245" t="inlineStr">
        <is>
          <t>23/15m², 7/10층, 남서향</t>
        </is>
      </c>
      <c r="G245" t="inlineStr">
        <is>
          <t>(주)소유부동산 중개법인</t>
        </is>
      </c>
      <c r="H245">
        <f>HYPERLINK("https://new.land.naver.com/houses?ms=37.5344483,127.0831475,15&amp;a=VL:DDDGG:JWJT:SGJT:HOJT&amp;e=RETAIL&amp;articleNo=2132552042", "서울시 광진구 자양동 680-6")</f>
        <v/>
      </c>
    </row>
    <row r="246">
      <c r="A246" s="1" t="n">
        <v>0</v>
      </c>
      <c r="B246" t="inlineStr">
        <is>
          <t>서울시 광진구 자양동 600-4</t>
        </is>
      </c>
      <c r="C246" t="inlineStr">
        <is>
          <t>21.12.22.</t>
        </is>
      </c>
      <c r="D246" t="inlineStr">
        <is>
          <t>매매</t>
        </is>
      </c>
      <c r="E246" t="inlineStr">
        <is>
          <t>16억</t>
        </is>
      </c>
      <c r="F246" t="inlineStr">
        <is>
          <t>107/182m², 4/0층, 동향</t>
        </is>
      </c>
      <c r="G246" t="inlineStr">
        <is>
          <t>대성부동산공인중개사사무소</t>
        </is>
      </c>
      <c r="H246">
        <f>HYPERLINK("https://new.land.naver.com/houses?ms=37.5344483,127.0831475,15&amp;a=VL:DDDGG:JWJT:SGJT:HOJT&amp;e=RETAIL&amp;articleNo=2134082697", "서울시 광진구 자양동 600-4")</f>
        <v/>
      </c>
    </row>
    <row r="247">
      <c r="A247" s="1" t="n">
        <v>0</v>
      </c>
      <c r="B247" t="inlineStr">
        <is>
          <t>서울시 광진구 자양동 678-6</t>
        </is>
      </c>
      <c r="C247" t="inlineStr">
        <is>
          <t>21.12.22.</t>
        </is>
      </c>
      <c r="D247" t="inlineStr">
        <is>
          <t>월세</t>
        </is>
      </c>
      <c r="E247" t="inlineStr">
        <is>
          <t>1,000/50</t>
        </is>
      </c>
      <c r="F247" t="inlineStr">
        <is>
          <t>30/26m², 1/5층, 남향</t>
        </is>
      </c>
      <c r="G247" t="inlineStr">
        <is>
          <t>용공인중개사사무소</t>
        </is>
      </c>
      <c r="H247">
        <f>HYPERLINK("https://new.land.naver.com/houses?ms=37.5344483,127.0831475,15&amp;a=VL:DDDGG:JWJT:SGJT:HOJT&amp;e=RETAIL&amp;articleNo=2134080095", "서울시 광진구 자양동 678-6")</f>
        <v/>
      </c>
    </row>
    <row r="248">
      <c r="A248" s="1" t="n">
        <v>0</v>
      </c>
      <c r="B248" t="inlineStr">
        <is>
          <t>서울시 광진구 자양동 197-6</t>
        </is>
      </c>
      <c r="C248" t="inlineStr">
        <is>
          <t>21.12.22.</t>
        </is>
      </c>
      <c r="D248" t="inlineStr">
        <is>
          <t>월세</t>
        </is>
      </c>
      <c r="E248" t="inlineStr">
        <is>
          <t>1,000/55</t>
        </is>
      </c>
      <c r="F248" t="inlineStr">
        <is>
          <t>25/21m², 1/4층, 북향</t>
        </is>
      </c>
      <c r="G248" t="inlineStr">
        <is>
          <t>윤공인중개사사무소</t>
        </is>
      </c>
      <c r="H248">
        <f>HYPERLINK("https://new.land.naver.com/houses?ms=37.5344483,127.0831475,15&amp;a=VL:DDDGG:JWJT:SGJT:HOJT&amp;e=RETAIL&amp;articleNo=2134074891", "서울시 광진구 자양동 197-6")</f>
        <v/>
      </c>
    </row>
    <row r="249">
      <c r="A249" s="1" t="n">
        <v>0</v>
      </c>
      <c r="B249" t="inlineStr">
        <is>
          <t>서울시 광진구 자양동 620-4</t>
        </is>
      </c>
      <c r="C249" t="inlineStr">
        <is>
          <t>21.12.22.</t>
        </is>
      </c>
      <c r="D249" t="inlineStr">
        <is>
          <t>월세</t>
        </is>
      </c>
      <c r="E249" t="inlineStr">
        <is>
          <t>500/49</t>
        </is>
      </c>
      <c r="F249" t="inlineStr">
        <is>
          <t>19/19m², 중/5층, 남향</t>
        </is>
      </c>
      <c r="G249" t="inlineStr">
        <is>
          <t>우리집공인중개사사무소</t>
        </is>
      </c>
      <c r="H249">
        <f>HYPERLINK("https://new.land.naver.com/houses?ms=37.5344483,127.0831475,15&amp;a=VL:DDDGG:JWJT:SGJT:HOJT&amp;e=RETAIL&amp;articleNo=2134124995", "서울시 광진구 자양동 620-4")</f>
        <v/>
      </c>
    </row>
    <row r="250">
      <c r="A250" s="1" t="n">
        <v>0</v>
      </c>
      <c r="B250" t="inlineStr">
        <is>
          <t>서울시 광진구 자양동 648-20</t>
        </is>
      </c>
      <c r="C250" t="inlineStr">
        <is>
          <t>21.12.18.</t>
        </is>
      </c>
      <c r="D250" t="inlineStr">
        <is>
          <t>월세</t>
        </is>
      </c>
      <c r="E250" t="inlineStr">
        <is>
          <t>1억/40</t>
        </is>
      </c>
      <c r="F250" t="inlineStr">
        <is>
          <t>42/42m², 3/4층, 남향</t>
        </is>
      </c>
      <c r="G250" t="inlineStr">
        <is>
          <t>세종부동산</t>
        </is>
      </c>
      <c r="H250">
        <f>HYPERLINK("https://new.land.naver.com/houses?ms=37.5344483,127.0831475,15&amp;a=VL:DDDGG:JWJT:SGJT:HOJT&amp;e=RETAIL&amp;articleNo=2133712692", "서울시 광진구 자양동 648-20")</f>
        <v/>
      </c>
    </row>
    <row r="251">
      <c r="A251" s="1" t="n">
        <v>0</v>
      </c>
      <c r="B251" t="inlineStr">
        <is>
          <t>서울시 광진구 자양동 640-35</t>
        </is>
      </c>
      <c r="C251" t="inlineStr">
        <is>
          <t>21.12.07.</t>
        </is>
      </c>
      <c r="D251" t="inlineStr">
        <is>
          <t>매매</t>
        </is>
      </c>
      <c r="E251" t="inlineStr">
        <is>
          <t>6억</t>
        </is>
      </c>
      <c r="F251" t="inlineStr">
        <is>
          <t>50/47m², 고/5층, 남동향</t>
        </is>
      </c>
      <c r="G251" t="inlineStr">
        <is>
          <t>JS부동산공인중개사사무소</t>
        </is>
      </c>
      <c r="H251">
        <f>HYPERLINK("https://new.land.naver.com/houses?ms=37.5344483,127.0831475,15&amp;a=VL:DDDGG:JWJT:SGJT:HOJT&amp;e=RETAIL&amp;articleNo=2132473189", "서울시 광진구 자양동 640-35")</f>
        <v/>
      </c>
    </row>
    <row r="252">
      <c r="A252" s="1" t="n">
        <v>0</v>
      </c>
      <c r="B252" t="inlineStr">
        <is>
          <t>서울시 광진구 자양동 497-10</t>
        </is>
      </c>
      <c r="C252" t="inlineStr">
        <is>
          <t>21.12.21.</t>
        </is>
      </c>
      <c r="D252" t="inlineStr">
        <is>
          <t>전세</t>
        </is>
      </c>
      <c r="E252" t="inlineStr">
        <is>
          <t>2억 5,000</t>
        </is>
      </c>
      <c r="F252" t="inlineStr">
        <is>
          <t>114/50m², 4/4층, 동향</t>
        </is>
      </c>
      <c r="G252" t="inlineStr">
        <is>
          <t>현대공인중개사사무소</t>
        </is>
      </c>
      <c r="H252">
        <f>HYPERLINK("https://new.land.naver.com/houses?ms=37.5344483,127.0831475,15&amp;a=VL:DDDGG:JWJT:SGJT:HOJT&amp;e=RETAIL&amp;articleNo=2134068016", "서울시 광진구 자양동 497-10")</f>
        <v/>
      </c>
    </row>
    <row r="253">
      <c r="A253" s="1" t="n">
        <v>0</v>
      </c>
      <c r="B253" t="inlineStr">
        <is>
          <t>서울시 광진구 자양동 650-48</t>
        </is>
      </c>
      <c r="C253" t="inlineStr">
        <is>
          <t>21.12.21.</t>
        </is>
      </c>
      <c r="D253" t="inlineStr">
        <is>
          <t>월세</t>
        </is>
      </c>
      <c r="E253" t="inlineStr">
        <is>
          <t>1억 5,000/30</t>
        </is>
      </c>
      <c r="F253" t="inlineStr">
        <is>
          <t>57/42m², 1/5층, 동향</t>
        </is>
      </c>
      <c r="G253" t="inlineStr">
        <is>
          <t>삼성공인중개사사무소</t>
        </is>
      </c>
      <c r="H253">
        <f>HYPERLINK("https://new.land.naver.com/houses?ms=37.5344483,127.0831475,15&amp;a=VL:DDDGG:JWJT:SGJT:HOJT&amp;e=RETAIL&amp;articleNo=2134058055", "서울시 광진구 자양동 650-48")</f>
        <v/>
      </c>
    </row>
    <row r="254">
      <c r="A254" s="1" t="n">
        <v>0</v>
      </c>
      <c r="B254" t="inlineStr">
        <is>
          <t>서울시 광진구 자양동 650-3</t>
        </is>
      </c>
      <c r="C254" t="inlineStr">
        <is>
          <t>21.12.07.</t>
        </is>
      </c>
      <c r="D254" t="inlineStr">
        <is>
          <t>매매</t>
        </is>
      </c>
      <c r="E254" t="inlineStr">
        <is>
          <t>6억 9,000</t>
        </is>
      </c>
      <c r="F254" t="inlineStr">
        <is>
          <t>82/75m², 3/5층, 북향</t>
        </is>
      </c>
      <c r="G254" t="inlineStr">
        <is>
          <t>LBA제일공인중개사사무소</t>
        </is>
      </c>
      <c r="H254">
        <f>HYPERLINK("https://new.land.naver.com/houses?ms=37.5344483,127.0831475,15&amp;a=VL:DDDGG:JWJT:SGJT:HOJT&amp;e=RETAIL&amp;articleNo=2132494778", "서울시 광진구 자양동 650-3")</f>
        <v/>
      </c>
    </row>
    <row r="255">
      <c r="A255" s="1" t="n">
        <v>0</v>
      </c>
      <c r="B255" t="inlineStr">
        <is>
          <t>서울시 광진구 자양동 196-24</t>
        </is>
      </c>
      <c r="C255" t="inlineStr">
        <is>
          <t>21.12.16.</t>
        </is>
      </c>
      <c r="D255" t="inlineStr">
        <is>
          <t>월세</t>
        </is>
      </c>
      <c r="E255" t="inlineStr">
        <is>
          <t>1,000/55</t>
        </is>
      </c>
      <c r="F255" t="inlineStr">
        <is>
          <t>26/26m², 1/1층, 남동향</t>
        </is>
      </c>
      <c r="G255" t="inlineStr">
        <is>
          <t>STAR부동산자산관리연구소공인중개사사무소</t>
        </is>
      </c>
      <c r="H255">
        <f>HYPERLINK("https://new.land.naver.com/houses?ms=37.5344483,127.0831475,15&amp;a=VL:DDDGG:JWJT:SGJT:HOJT&amp;e=RETAIL&amp;articleNo=2133441860", "서울시 광진구 자양동 196-24")</f>
        <v/>
      </c>
    </row>
    <row r="256">
      <c r="A256" s="1" t="n">
        <v>0</v>
      </c>
      <c r="B256" t="inlineStr">
        <is>
          <t>서울시 광진구 자양동 227-271</t>
        </is>
      </c>
      <c r="C256" t="inlineStr">
        <is>
          <t>21.12.21.</t>
        </is>
      </c>
      <c r="D256" t="inlineStr">
        <is>
          <t>월세</t>
        </is>
      </c>
      <c r="E256" t="inlineStr">
        <is>
          <t>1,000/50</t>
        </is>
      </c>
      <c r="F256" t="inlineStr">
        <is>
          <t>42/39m², 1/3층, 남동향</t>
        </is>
      </c>
      <c r="G256" t="inlineStr">
        <is>
          <t>어울림공인중개사사무소</t>
        </is>
      </c>
      <c r="H256">
        <f>HYPERLINK("https://new.land.naver.com/houses?ms=37.5344483,127.0831475,15&amp;a=VL:DDDGG:JWJT:SGJT:HOJT&amp;e=RETAIL&amp;articleNo=2133982024", "서울시 광진구 자양동 227-271")</f>
        <v/>
      </c>
    </row>
    <row r="257">
      <c r="A257" s="1" t="n">
        <v>0</v>
      </c>
      <c r="B257" t="inlineStr">
        <is>
          <t>서울시 광진구 자양동 774-25</t>
        </is>
      </c>
      <c r="C257" t="inlineStr">
        <is>
          <t>21.12.21.</t>
        </is>
      </c>
      <c r="D257" t="inlineStr">
        <is>
          <t>매매</t>
        </is>
      </c>
      <c r="E257" t="inlineStr">
        <is>
          <t>36억 5,000</t>
        </is>
      </c>
      <c r="F257" t="inlineStr">
        <is>
          <t>260/595m², 5/B1층, 남향</t>
        </is>
      </c>
      <c r="G257" t="inlineStr">
        <is>
          <t>이강애공인중개사사무소</t>
        </is>
      </c>
      <c r="H257">
        <f>HYPERLINK("https://new.land.naver.com/houses?ms=37.5344483,127.0831475,15&amp;a=VL:DDDGG:JWJT:SGJT:HOJT&amp;e=RETAIL&amp;articleNo=2133976264", "서울시 광진구 자양동 774-25")</f>
        <v/>
      </c>
    </row>
    <row r="258">
      <c r="A258" s="1" t="n">
        <v>0</v>
      </c>
      <c r="B258" t="inlineStr">
        <is>
          <t>서울시 광진구 자양동 193-32</t>
        </is>
      </c>
      <c r="C258" t="inlineStr">
        <is>
          <t>21.12.21.</t>
        </is>
      </c>
      <c r="D258" t="inlineStr">
        <is>
          <t>월세</t>
        </is>
      </c>
      <c r="E258" t="inlineStr">
        <is>
          <t>1,000/36</t>
        </is>
      </c>
      <c r="F258" t="inlineStr">
        <is>
          <t>23/16m², 중/4층, 북향</t>
        </is>
      </c>
      <c r="G258" t="inlineStr">
        <is>
          <t>로얄공인중개사사무소</t>
        </is>
      </c>
      <c r="H258">
        <f>HYPERLINK("https://new.land.naver.com/houses?ms=37.5344483,127.0831475,15&amp;a=VL:DDDGG:JWJT:SGJT:HOJT&amp;e=RETAIL&amp;articleNo=2133974153", "서울시 광진구 자양동 193-32")</f>
        <v/>
      </c>
    </row>
    <row r="259">
      <c r="A259" s="1" t="n">
        <v>0</v>
      </c>
      <c r="B259" t="inlineStr">
        <is>
          <t>서울시 광진구 자양동 646-13</t>
        </is>
      </c>
      <c r="C259" t="inlineStr">
        <is>
          <t>21.12.14.</t>
        </is>
      </c>
      <c r="D259" t="inlineStr">
        <is>
          <t>매매</t>
        </is>
      </c>
      <c r="E259" t="inlineStr">
        <is>
          <t>3억 4,000</t>
        </is>
      </c>
      <c r="F259" t="inlineStr">
        <is>
          <t>53/45m², 5/5층, 서향</t>
        </is>
      </c>
      <c r="G259" t="inlineStr">
        <is>
          <t>와우부동산공인중개사사무소</t>
        </is>
      </c>
      <c r="H259">
        <f>HYPERLINK("https://new.land.naver.com/houses?ms=37.5344483,127.0831475,15&amp;a=VL:DDDGG:JWJT:SGJT:HOJT&amp;e=RETAIL&amp;articleNo=2133295576", "서울시 광진구 자양동 646-13")</f>
        <v/>
      </c>
    </row>
    <row r="260">
      <c r="A260" s="1" t="n">
        <v>0</v>
      </c>
      <c r="B260" t="inlineStr">
        <is>
          <t>서울시 광진구 자양동 774-8</t>
        </is>
      </c>
      <c r="C260" t="inlineStr">
        <is>
          <t>21.12.08.</t>
        </is>
      </c>
      <c r="D260" t="inlineStr">
        <is>
          <t>매매</t>
        </is>
      </c>
      <c r="E260" t="inlineStr">
        <is>
          <t>4억 8,000</t>
        </is>
      </c>
      <c r="F260" t="inlineStr">
        <is>
          <t>61/50m², 중/5층, 서향</t>
        </is>
      </c>
      <c r="G260" t="inlineStr">
        <is>
          <t>와우부동산공인중개사사무소</t>
        </is>
      </c>
      <c r="H260">
        <f>HYPERLINK("https://new.land.naver.com/houses?ms=37.5344483,127.0831475,15&amp;a=VL:DDDGG:JWJT:SGJT:HOJT&amp;e=RETAIL&amp;articleNo=2132557993", "서울시 광진구 자양동 774-8")</f>
        <v/>
      </c>
    </row>
    <row r="261">
      <c r="A261" s="1" t="n">
        <v>0</v>
      </c>
      <c r="B261" t="inlineStr">
        <is>
          <t>서울시 광진구 자양동 614-50</t>
        </is>
      </c>
      <c r="C261" t="inlineStr">
        <is>
          <t>21.12.06.</t>
        </is>
      </c>
      <c r="D261" t="inlineStr">
        <is>
          <t>매매</t>
        </is>
      </c>
      <c r="E261" t="inlineStr">
        <is>
          <t>4억 5,000</t>
        </is>
      </c>
      <c r="F261" t="inlineStr">
        <is>
          <t>59/59m², 4/4층, 동향</t>
        </is>
      </c>
      <c r="G261" t="inlineStr">
        <is>
          <t>자양공인중개사</t>
        </is>
      </c>
      <c r="H261">
        <f>HYPERLINK("https://new.land.naver.com/houses?ms=37.5344483,127.0831475,15&amp;a=VL:DDDGG:JWJT:SGJT:HOJT&amp;e=RETAIL&amp;articleNo=2132334962", "서울시 광진구 자양동 614-50")</f>
        <v/>
      </c>
    </row>
    <row r="262">
      <c r="A262" s="1" t="n">
        <v>0</v>
      </c>
      <c r="B262" t="inlineStr">
        <is>
          <t>서울시 광진구 자양동 648-27</t>
        </is>
      </c>
      <c r="C262" t="inlineStr">
        <is>
          <t>21.12.09.</t>
        </is>
      </c>
      <c r="D262" t="inlineStr">
        <is>
          <t>월세</t>
        </is>
      </c>
      <c r="E262" t="inlineStr">
        <is>
          <t>1,000/50</t>
        </is>
      </c>
      <c r="F262" t="inlineStr">
        <is>
          <t>34/22m², 1/5층, 북향</t>
        </is>
      </c>
      <c r="G262" t="inlineStr">
        <is>
          <t>동아부동산공인중개사</t>
        </is>
      </c>
      <c r="H262">
        <f>HYPERLINK("https://new.land.naver.com/houses?ms=37.5344483,127.0831475,15&amp;a=VL:DDDGG:JWJT:SGJT:HOJT&amp;e=RETAIL&amp;articleNo=2132789654", "서울시 광진구 자양동 648-27")</f>
        <v/>
      </c>
    </row>
    <row r="263">
      <c r="A263" s="1" t="n">
        <v>0</v>
      </c>
      <c r="B263" t="inlineStr">
        <is>
          <t>서울시 광진구 자양동 598-2</t>
        </is>
      </c>
      <c r="C263" t="inlineStr">
        <is>
          <t>21.12.10.</t>
        </is>
      </c>
      <c r="D263" t="inlineStr">
        <is>
          <t>전세</t>
        </is>
      </c>
      <c r="E263" t="inlineStr">
        <is>
          <t>5억 2,000</t>
        </is>
      </c>
      <c r="F263" t="inlineStr">
        <is>
          <t>70/42m², 5/6층, 남서향</t>
        </is>
      </c>
      <c r="G263" t="inlineStr">
        <is>
          <t>삼성부동산공인중개사사무소</t>
        </is>
      </c>
      <c r="H263">
        <f>HYPERLINK("https://new.land.naver.com/houses?ms=37.5344483,127.0831475,15&amp;a=VL:DDDGG:JWJT:SGJT:HOJT&amp;e=RETAIL&amp;articleNo=2132893748", "서울시 광진구 자양동 598-2")</f>
        <v/>
      </c>
    </row>
    <row r="264">
      <c r="A264" s="1" t="n">
        <v>0</v>
      </c>
      <c r="B264" t="inlineStr">
        <is>
          <t>서울시 광진구 자양동 607-12</t>
        </is>
      </c>
      <c r="C264" t="inlineStr">
        <is>
          <t>21.12.21.</t>
        </is>
      </c>
      <c r="D264" t="inlineStr">
        <is>
          <t>월세</t>
        </is>
      </c>
      <c r="E264" t="inlineStr">
        <is>
          <t>1억/150</t>
        </is>
      </c>
      <c r="F264" t="inlineStr">
        <is>
          <t>73/73m², 중/5층, 북동향</t>
        </is>
      </c>
      <c r="G264" t="inlineStr">
        <is>
          <t>무궁화공인중개사사무소</t>
        </is>
      </c>
      <c r="H264">
        <f>HYPERLINK("https://new.land.naver.com/houses?ms=37.5344483,127.0831475,15&amp;a=VL:DDDGG:JWJT:SGJT:HOJT&amp;e=RETAIL&amp;articleNo=2134045502", "서울시 광진구 자양동 607-12")</f>
        <v/>
      </c>
    </row>
    <row r="265">
      <c r="A265" s="1" t="n">
        <v>0</v>
      </c>
      <c r="B265" t="inlineStr">
        <is>
          <t>서울시 광진구 자양동 633-21</t>
        </is>
      </c>
      <c r="C265" t="inlineStr">
        <is>
          <t>21.12.20.</t>
        </is>
      </c>
      <c r="D265" t="inlineStr">
        <is>
          <t>전세</t>
        </is>
      </c>
      <c r="E265" t="inlineStr">
        <is>
          <t>2억 9,000</t>
        </is>
      </c>
      <c r="F265" t="inlineStr">
        <is>
          <t>15/12m², 4/5층, 북향</t>
        </is>
      </c>
      <c r="G265" t="inlineStr">
        <is>
          <t>용공인중개사사무소</t>
        </is>
      </c>
      <c r="H265">
        <f>HYPERLINK("https://new.land.naver.com/houses?ms=37.5344483,127.0831475,15&amp;a=VL:DDDGG:JWJT:SGJT:HOJT&amp;e=RETAIL&amp;articleNo=2133932268", "서울시 광진구 자양동 633-21")</f>
        <v/>
      </c>
    </row>
    <row r="266">
      <c r="A266" s="1" t="n">
        <v>0</v>
      </c>
      <c r="B266" t="inlineStr">
        <is>
          <t>서울시 광진구 자양동 217-17</t>
        </is>
      </c>
      <c r="C266" t="inlineStr">
        <is>
          <t>21.12.08.</t>
        </is>
      </c>
      <c r="D266" t="inlineStr">
        <is>
          <t>매매</t>
        </is>
      </c>
      <c r="E266" t="inlineStr">
        <is>
          <t>16억 7,000</t>
        </is>
      </c>
      <c r="F266" t="inlineStr">
        <is>
          <t>134/234m², 4/0층, 서향</t>
        </is>
      </c>
      <c r="G266" t="inlineStr">
        <is>
          <t>연세공인중개사사무소</t>
        </is>
      </c>
      <c r="H266">
        <f>HYPERLINK("https://new.land.naver.com/houses?ms=37.5344483,127.0831475,15&amp;a=VL:DDDGG:JWJT:SGJT:HOJT&amp;e=RETAIL&amp;articleNo=2132668730", "서울시 광진구 자양동 217-17")</f>
        <v/>
      </c>
    </row>
    <row r="267">
      <c r="A267" s="1" t="n">
        <v>0</v>
      </c>
      <c r="B267" t="inlineStr">
        <is>
          <t>서울시 광진구 자양동 647-8</t>
        </is>
      </c>
      <c r="C267" t="inlineStr">
        <is>
          <t>21.12.20.</t>
        </is>
      </c>
      <c r="D267" t="inlineStr">
        <is>
          <t>월세</t>
        </is>
      </c>
      <c r="E267" t="inlineStr">
        <is>
          <t>1억/59</t>
        </is>
      </c>
      <c r="F267" t="inlineStr">
        <is>
          <t>43/33m², 3/5층, 서향</t>
        </is>
      </c>
      <c r="G267" t="inlineStr">
        <is>
          <t>부동산신화공인중개사사무소</t>
        </is>
      </c>
      <c r="H267">
        <f>HYPERLINK("https://new.land.naver.com/houses?ms=37.5344483,127.0831475,15&amp;a=VL:DDDGG:JWJT:SGJT:HOJT&amp;e=RETAIL&amp;articleNo=2133910992", "서울시 광진구 자양동 647-8")</f>
        <v/>
      </c>
    </row>
    <row r="268">
      <c r="A268" s="1" t="n">
        <v>0</v>
      </c>
      <c r="B268" t="inlineStr">
        <is>
          <t>서울시 광진구 자양동 638-3</t>
        </is>
      </c>
      <c r="C268" t="inlineStr">
        <is>
          <t>21.12.20.</t>
        </is>
      </c>
      <c r="D268" t="inlineStr">
        <is>
          <t>월세</t>
        </is>
      </c>
      <c r="E268" t="inlineStr">
        <is>
          <t>1,000/43</t>
        </is>
      </c>
      <c r="F268" t="inlineStr">
        <is>
          <t>47/43m², B1/3층, 남서향</t>
        </is>
      </c>
      <c r="G268" t="inlineStr">
        <is>
          <t>새우리공인중개사사무소</t>
        </is>
      </c>
      <c r="H268">
        <f>HYPERLINK("https://new.land.naver.com/houses?ms=37.5344483,127.0831475,15&amp;a=VL:DDDGG:JWJT:SGJT:HOJT&amp;e=RETAIL&amp;articleNo=2133918512", "서울시 광진구 자양동 638-3")</f>
        <v/>
      </c>
    </row>
    <row r="269">
      <c r="A269" s="1" t="n">
        <v>0</v>
      </c>
      <c r="B269" t="inlineStr">
        <is>
          <t>서울시 광진구 자양동 231-13</t>
        </is>
      </c>
      <c r="C269" t="inlineStr">
        <is>
          <t>21.12.20.</t>
        </is>
      </c>
      <c r="D269" t="inlineStr">
        <is>
          <t>월세</t>
        </is>
      </c>
      <c r="E269" t="inlineStr">
        <is>
          <t>500/50</t>
        </is>
      </c>
      <c r="F269" t="inlineStr">
        <is>
          <t>15/15m², 1/5층, 남동향</t>
        </is>
      </c>
      <c r="G269" t="inlineStr">
        <is>
          <t>둔촌제일공인중개사사무소</t>
        </is>
      </c>
      <c r="H269">
        <f>HYPERLINK("https://new.land.naver.com/houses?ms=37.5344483,127.0831475,15&amp;a=VL:DDDGG:JWJT:SGJT:HOJT&amp;e=RETAIL&amp;articleNo=2133908631", "서울시 광진구 자양동 231-13")</f>
        <v/>
      </c>
    </row>
    <row r="270">
      <c r="A270" s="1" t="n">
        <v>0</v>
      </c>
      <c r="B270" t="inlineStr">
        <is>
          <t>서울시 광진구 자양동 775-13</t>
        </is>
      </c>
      <c r="C270" t="inlineStr">
        <is>
          <t>21.12.15.</t>
        </is>
      </c>
      <c r="D270" t="inlineStr">
        <is>
          <t>월세</t>
        </is>
      </c>
      <c r="E270" t="inlineStr">
        <is>
          <t>1억 5,000/75</t>
        </is>
      </c>
      <c r="F270" t="inlineStr">
        <is>
          <t>40/40m², 4/5층, 동향</t>
        </is>
      </c>
      <c r="G270" t="inlineStr">
        <is>
          <t>금빛부동산공인중개사사무소</t>
        </is>
      </c>
      <c r="H270">
        <f>HYPERLINK("https://new.land.naver.com/houses?ms=37.5344483,127.0831475,15&amp;a=VL:DDDGG:JWJT:SGJT:HOJT&amp;e=RETAIL&amp;articleNo=2133393988", "서울시 광진구 자양동 775-13")</f>
        <v/>
      </c>
    </row>
    <row r="271">
      <c r="A271" s="1" t="n">
        <v>0</v>
      </c>
      <c r="B271" t="inlineStr">
        <is>
          <t>서울시 광진구 자양동 479</t>
        </is>
      </c>
      <c r="C271" t="inlineStr">
        <is>
          <t>22.01.03.</t>
        </is>
      </c>
      <c r="D271" t="inlineStr">
        <is>
          <t>월세</t>
        </is>
      </c>
      <c r="E271" t="inlineStr">
        <is>
          <t>1억 5,000/85</t>
        </is>
      </c>
      <c r="F271" t="inlineStr">
        <is>
          <t>88/84m², 고/4층, 남서향</t>
        </is>
      </c>
      <c r="G271" t="inlineStr">
        <is>
          <t>삼성부동산공인중개사사무소</t>
        </is>
      </c>
      <c r="H271">
        <f>HYPERLINK("https://new.land.naver.com/houses?ms=37.5344483,127.0831475,15&amp;a=VL:DDDGG:JWJT:SGJT:HOJT&amp;e=RETAIL&amp;articleNo=2200208877", "서울시 광진구 자양동 479")</f>
        <v/>
      </c>
    </row>
    <row r="272">
      <c r="A272" s="1" t="n">
        <v>0</v>
      </c>
      <c r="B272" t="inlineStr">
        <is>
          <t>서울시 광진구 자양동 615-16</t>
        </is>
      </c>
      <c r="C272" t="inlineStr">
        <is>
          <t>21.12.20.</t>
        </is>
      </c>
      <c r="D272" t="inlineStr">
        <is>
          <t>월세</t>
        </is>
      </c>
      <c r="E272" t="inlineStr">
        <is>
          <t>2,000/45</t>
        </is>
      </c>
      <c r="F272" t="inlineStr">
        <is>
          <t>37/30m², 1/3층, 동향</t>
        </is>
      </c>
      <c r="G272" t="inlineStr">
        <is>
          <t>대성부동산공인중개사사무소</t>
        </is>
      </c>
      <c r="H272">
        <f>HYPERLINK("https://new.land.naver.com/houses?ms=37.5344483,127.0831475,15&amp;a=VL:DDDGG:JWJT:SGJT:HOJT&amp;e=RETAIL&amp;articleNo=2133889483", "서울시 광진구 자양동 615-16")</f>
        <v/>
      </c>
    </row>
    <row r="273">
      <c r="A273" s="1" t="n">
        <v>0</v>
      </c>
      <c r="B273" t="inlineStr">
        <is>
          <t>서울시 광진구 자양동 52-24</t>
        </is>
      </c>
      <c r="C273" t="inlineStr">
        <is>
          <t>21.12.20.</t>
        </is>
      </c>
      <c r="D273" t="inlineStr">
        <is>
          <t>월세</t>
        </is>
      </c>
      <c r="E273" t="inlineStr">
        <is>
          <t>500/40</t>
        </is>
      </c>
      <c r="F273" t="inlineStr">
        <is>
          <t>16/16m², B1/2층, 북동향</t>
        </is>
      </c>
      <c r="G273" t="inlineStr">
        <is>
          <t>더미소부동산공인중개사사무소</t>
        </is>
      </c>
      <c r="H273">
        <f>HYPERLINK("https://new.land.naver.com/houses?ms=37.5344483,127.0831475,15&amp;a=VL:DDDGG:JWJT:SGJT:HOJT&amp;e=RETAIL&amp;articleNo=2133844190", "서울시 광진구 자양동 52-24")</f>
        <v/>
      </c>
    </row>
    <row r="274">
      <c r="A274" s="1" t="n">
        <v>0</v>
      </c>
      <c r="B274" t="inlineStr">
        <is>
          <t>서울시 광진구 자양동 238-3</t>
        </is>
      </c>
      <c r="C274" t="inlineStr">
        <is>
          <t>21.12.20.</t>
        </is>
      </c>
      <c r="D274" t="inlineStr">
        <is>
          <t>월세</t>
        </is>
      </c>
      <c r="E274" t="inlineStr">
        <is>
          <t>1억 5,000/50</t>
        </is>
      </c>
      <c r="F274" t="inlineStr">
        <is>
          <t>37/29m², 3/5층, 북동향</t>
        </is>
      </c>
      <c r="G274" t="inlineStr">
        <is>
          <t>길공인중개사사무소</t>
        </is>
      </c>
      <c r="H274">
        <f>HYPERLINK("https://new.land.naver.com/houses?ms=37.5344483,127.0831475,15&amp;a=VL:DDDGG:JWJT:SGJT:HOJT&amp;e=RETAIL&amp;articleNo=2133840869", "서울시 광진구 자양동 238-3")</f>
        <v/>
      </c>
    </row>
    <row r="275">
      <c r="A275" s="1" t="n">
        <v>0</v>
      </c>
      <c r="B275" t="inlineStr">
        <is>
          <t>서울시 광진구 자양동 193-21</t>
        </is>
      </c>
      <c r="C275" t="inlineStr">
        <is>
          <t>21.12.13.</t>
        </is>
      </c>
      <c r="D275" t="inlineStr">
        <is>
          <t>전세</t>
        </is>
      </c>
      <c r="E275" t="inlineStr">
        <is>
          <t>2억 5,000</t>
        </is>
      </c>
      <c r="F275" t="inlineStr">
        <is>
          <t>75/67m², 3/5층, 북동향</t>
        </is>
      </c>
      <c r="G275" t="inlineStr">
        <is>
          <t>로얄공인중개사사무소</t>
        </is>
      </c>
      <c r="H275">
        <f>HYPERLINK("https://new.land.naver.com/houses?ms=37.5344483,127.0831475,15&amp;a=VL:DDDGG:JWJT:SGJT:HOJT&amp;e=RETAIL&amp;articleNo=2133179042", "서울시 광진구 자양동 193-21")</f>
        <v/>
      </c>
    </row>
    <row r="276">
      <c r="A276" s="1" t="n">
        <v>0</v>
      </c>
      <c r="B276" t="inlineStr">
        <is>
          <t>서울시 광진구 자양동 553-192</t>
        </is>
      </c>
      <c r="C276" t="inlineStr">
        <is>
          <t>21.12.20.</t>
        </is>
      </c>
      <c r="D276" t="inlineStr">
        <is>
          <t>월세</t>
        </is>
      </c>
      <c r="E276" t="inlineStr">
        <is>
          <t>300/35</t>
        </is>
      </c>
      <c r="F276" t="inlineStr">
        <is>
          <t>20/20m², B1/3층, 남동향</t>
        </is>
      </c>
      <c r="G276" t="inlineStr">
        <is>
          <t>황금부동산공인중개사사무소</t>
        </is>
      </c>
      <c r="H276">
        <f>HYPERLINK("https://new.land.naver.com/houses?ms=37.5344483,127.0831475,15&amp;a=VL:DDDGG:JWJT:SGJT:HOJT&amp;e=RETAIL&amp;articleNo=2133824434", "서울시 광진구 자양동 553-192")</f>
        <v/>
      </c>
    </row>
    <row r="277">
      <c r="A277" s="1" t="n">
        <v>0</v>
      </c>
      <c r="B277" t="inlineStr">
        <is>
          <t>서울시 광진구 자양동 611-32</t>
        </is>
      </c>
      <c r="C277" t="inlineStr">
        <is>
          <t>21.12.08.</t>
        </is>
      </c>
      <c r="D277" t="inlineStr">
        <is>
          <t>매매</t>
        </is>
      </c>
      <c r="E277" t="inlineStr">
        <is>
          <t>1억 8,000</t>
        </is>
      </c>
      <c r="F277" t="inlineStr">
        <is>
          <t>26/21m², 4/4층, 남향</t>
        </is>
      </c>
      <c r="G277" t="inlineStr">
        <is>
          <t>와우부동산공인중개사사무소</t>
        </is>
      </c>
      <c r="H277">
        <f>HYPERLINK("https://new.land.naver.com/houses?ms=37.5344483,127.0831475,15&amp;a=VL:DDDGG:JWJT:SGJT:HOJT&amp;e=RETAIL&amp;articleNo=2132607706", "서울시 광진구 자양동 611-32")</f>
        <v/>
      </c>
    </row>
    <row r="278">
      <c r="A278" s="1" t="n">
        <v>0</v>
      </c>
      <c r="B278" t="inlineStr">
        <is>
          <t>서울시 광진구 자양동 638-18</t>
        </is>
      </c>
      <c r="C278" t="inlineStr">
        <is>
          <t>21.12.20.</t>
        </is>
      </c>
      <c r="D278" t="inlineStr">
        <is>
          <t>매매</t>
        </is>
      </c>
      <c r="E278" t="inlineStr">
        <is>
          <t>26억</t>
        </is>
      </c>
      <c r="F278" t="inlineStr">
        <is>
          <t>163/432m², 4/B1층, 남서향</t>
        </is>
      </c>
      <c r="G278" t="inlineStr">
        <is>
          <t>으뜸공인중개사사무소</t>
        </is>
      </c>
      <c r="H278">
        <f>HYPERLINK("https://new.land.naver.com/houses?ms=37.5344483,127.0831475,15&amp;a=VL:DDDGG:JWJT:SGJT:HOJT&amp;e=RETAIL&amp;articleNo=2133836046", "서울시 광진구 자양동 638-18")</f>
        <v/>
      </c>
    </row>
    <row r="279">
      <c r="A279" s="1" t="n">
        <v>0</v>
      </c>
      <c r="B279" t="inlineStr">
        <is>
          <t>서울시 광진구 자양동 227-279</t>
        </is>
      </c>
      <c r="C279" t="inlineStr">
        <is>
          <t>21.12.16.</t>
        </is>
      </c>
      <c r="D279" t="inlineStr">
        <is>
          <t>전세</t>
        </is>
      </c>
      <c r="E279" t="inlineStr">
        <is>
          <t>4억 6,000</t>
        </is>
      </c>
      <c r="F279" t="inlineStr">
        <is>
          <t>49/40m², 5/6층, 남동향</t>
        </is>
      </c>
      <c r="G279" t="inlineStr">
        <is>
          <t>자양공인중개사</t>
        </is>
      </c>
      <c r="H279">
        <f>HYPERLINK("https://new.land.naver.com/houses?ms=37.5344483,127.0831475,15&amp;a=VL:DDDGG:JWJT:SGJT:HOJT&amp;e=RETAIL&amp;articleNo=2133474321", "서울시 광진구 자양동 227-279")</f>
        <v/>
      </c>
    </row>
    <row r="280">
      <c r="A280" s="1" t="n">
        <v>0</v>
      </c>
      <c r="B280" t="inlineStr">
        <is>
          <t>서울시 광진구 자양동 770-28</t>
        </is>
      </c>
      <c r="C280" t="inlineStr">
        <is>
          <t>21.12.18.</t>
        </is>
      </c>
      <c r="D280" t="inlineStr">
        <is>
          <t>월세</t>
        </is>
      </c>
      <c r="E280" t="inlineStr">
        <is>
          <t>500/35</t>
        </is>
      </c>
      <c r="F280" t="inlineStr">
        <is>
          <t>16/16m², 1/1층, 남동향</t>
        </is>
      </c>
      <c r="G280" t="inlineStr">
        <is>
          <t>우리부동산공인중개사사무소</t>
        </is>
      </c>
      <c r="H280">
        <f>HYPERLINK("https://new.land.naver.com/houses?ms=37.5344483,127.0831475,15&amp;a=VL:DDDGG:JWJT:SGJT:HOJT&amp;e=RETAIL&amp;articleNo=2133763781", "서울시 광진구 자양동 770-28")</f>
        <v/>
      </c>
    </row>
    <row r="281">
      <c r="A281" s="1" t="n">
        <v>0</v>
      </c>
      <c r="B281" t="inlineStr">
        <is>
          <t>서울시 광진구 자양동 625-7</t>
        </is>
      </c>
      <c r="C281" t="inlineStr">
        <is>
          <t>21.12.18.</t>
        </is>
      </c>
      <c r="D281" t="inlineStr">
        <is>
          <t>월세</t>
        </is>
      </c>
      <c r="E281" t="inlineStr">
        <is>
          <t>500/45</t>
        </is>
      </c>
      <c r="F281" t="inlineStr">
        <is>
          <t>37/16m², 4/4층, 동향</t>
        </is>
      </c>
      <c r="G281" t="inlineStr">
        <is>
          <t>와우부동산공인중개사사무소</t>
        </is>
      </c>
      <c r="H281">
        <f>HYPERLINK("https://new.land.naver.com/houses?ms=37.5344483,127.0831475,15&amp;a=VL:DDDGG:JWJT:SGJT:HOJT&amp;e=RETAIL&amp;articleNo=2133734324", "서울시 광진구 자양동 625-7")</f>
        <v/>
      </c>
    </row>
    <row r="282">
      <c r="A282" s="1" t="n">
        <v>0</v>
      </c>
      <c r="B282" t="inlineStr">
        <is>
          <t>서울시 광진구 자양동 662-16</t>
        </is>
      </c>
      <c r="C282" t="inlineStr">
        <is>
          <t>21.12.06.</t>
        </is>
      </c>
      <c r="D282" t="inlineStr">
        <is>
          <t>매매</t>
        </is>
      </c>
      <c r="E282" t="inlineStr">
        <is>
          <t>4억 1,000</t>
        </is>
      </c>
      <c r="F282" t="inlineStr">
        <is>
          <t>37/30m², 중/6층, 동향</t>
        </is>
      </c>
      <c r="G282" t="inlineStr">
        <is>
          <t>가나공인중개사사무소</t>
        </is>
      </c>
      <c r="H282">
        <f>HYPERLINK("https://new.land.naver.com/houses?ms=37.5344483,127.0831475,15&amp;a=VL:DDDGG:JWJT:SGJT:HOJT&amp;e=RETAIL&amp;articleNo=2132350483", "서울시 광진구 자양동 662-16")</f>
        <v/>
      </c>
    </row>
    <row r="283">
      <c r="A283" s="1" t="n">
        <v>0</v>
      </c>
      <c r="B283" t="inlineStr">
        <is>
          <t>서울시 광진구 자양동 200</t>
        </is>
      </c>
      <c r="C283" t="inlineStr">
        <is>
          <t>21.12.16.</t>
        </is>
      </c>
      <c r="D283" t="inlineStr">
        <is>
          <t>매매</t>
        </is>
      </c>
      <c r="E283" t="inlineStr">
        <is>
          <t>12억</t>
        </is>
      </c>
      <c r="F283" t="inlineStr">
        <is>
          <t>70/70m², 중/2층, 남향</t>
        </is>
      </c>
      <c r="G283" t="inlineStr">
        <is>
          <t>로얄공인중개사사무소</t>
        </is>
      </c>
      <c r="H283">
        <f>HYPERLINK("https://new.land.naver.com/houses?ms=37.5344483,127.0831475,15&amp;a=VL:DDDGG:JWJT:SGJT:HOJT&amp;e=RETAIL&amp;articleNo=2133462865", "서울시 광진구 자양동 200")</f>
        <v/>
      </c>
    </row>
    <row r="284">
      <c r="A284" s="1" t="n">
        <v>0</v>
      </c>
      <c r="B284" t="inlineStr">
        <is>
          <t>서울시 광진구 자양동 669-9</t>
        </is>
      </c>
      <c r="C284" t="inlineStr">
        <is>
          <t>21.12.07.</t>
        </is>
      </c>
      <c r="D284" t="inlineStr">
        <is>
          <t>매매</t>
        </is>
      </c>
      <c r="E284" t="inlineStr">
        <is>
          <t>5억 5,000</t>
        </is>
      </c>
      <c r="F284" t="inlineStr">
        <is>
          <t>78/64m², 3/5층, 남동향</t>
        </is>
      </c>
      <c r="G284" t="inlineStr">
        <is>
          <t>LG부동산공인중개사사무소</t>
        </is>
      </c>
      <c r="H284">
        <f>HYPERLINK("https://new.land.naver.com/houses?ms=37.5344483,127.0831475,15&amp;a=VL:DDDGG:JWJT:SGJT:HOJT&amp;e=RETAIL&amp;articleNo=2132457226", "서울시 광진구 자양동 669-9")</f>
        <v/>
      </c>
    </row>
    <row r="285">
      <c r="A285" s="1" t="n">
        <v>0</v>
      </c>
      <c r="B285" t="inlineStr">
        <is>
          <t>서울시 광진구 자양동 13-50</t>
        </is>
      </c>
      <c r="C285" t="inlineStr">
        <is>
          <t>21.12.13.</t>
        </is>
      </c>
      <c r="D285" t="inlineStr">
        <is>
          <t>전세</t>
        </is>
      </c>
      <c r="E285" t="inlineStr">
        <is>
          <t>1억 7,000</t>
        </is>
      </c>
      <c r="F285" t="inlineStr">
        <is>
          <t>21/18m², 3/5층, 서향</t>
        </is>
      </c>
      <c r="G285" t="inlineStr">
        <is>
          <t>한울공인중개사사무소</t>
        </is>
      </c>
      <c r="H285">
        <f>HYPERLINK("https://new.land.naver.com/houses?ms=37.5344483,127.0831475,15&amp;a=VL:DDDGG:JWJT:SGJT:HOJT&amp;e=RETAIL&amp;articleNo=2133118207", "서울시 광진구 자양동 13-50")</f>
        <v/>
      </c>
    </row>
    <row r="286">
      <c r="A286" s="1" t="n">
        <v>0</v>
      </c>
      <c r="B286" t="inlineStr">
        <is>
          <t>서울시 광진구 자양동 229-37</t>
        </is>
      </c>
      <c r="C286" t="inlineStr">
        <is>
          <t>21.12.18.</t>
        </is>
      </c>
      <c r="D286" t="inlineStr">
        <is>
          <t>매매</t>
        </is>
      </c>
      <c r="E286" t="inlineStr">
        <is>
          <t>18억 5,000</t>
        </is>
      </c>
      <c r="F286" t="inlineStr">
        <is>
          <t>139/268m², 5/0층, 북동향</t>
        </is>
      </c>
      <c r="G286" t="inlineStr">
        <is>
          <t>와우부동산공인중개사사무소</t>
        </is>
      </c>
      <c r="H286">
        <f>HYPERLINK("https://new.land.naver.com/houses?ms=37.5344483,127.0831475,15&amp;a=VL:DDDGG:JWJT:SGJT:HOJT&amp;e=RETAIL&amp;articleNo=2133732839", "서울시 광진구 자양동 229-37")</f>
        <v/>
      </c>
    </row>
    <row r="287">
      <c r="A287" s="1" t="n">
        <v>0</v>
      </c>
      <c r="B287" t="inlineStr">
        <is>
          <t>서울시 광진구 자양동 48-6</t>
        </is>
      </c>
      <c r="C287" t="inlineStr">
        <is>
          <t>21.12.15.</t>
        </is>
      </c>
      <c r="D287" t="inlineStr">
        <is>
          <t>월세</t>
        </is>
      </c>
      <c r="E287" t="inlineStr">
        <is>
          <t>1,000/60</t>
        </is>
      </c>
      <c r="F287" t="inlineStr">
        <is>
          <t>22/18m², 중/5층, 동향</t>
        </is>
      </c>
      <c r="G287" t="inlineStr">
        <is>
          <t>뉴시티공인중개사사무소</t>
        </is>
      </c>
      <c r="H287">
        <f>HYPERLINK("https://new.land.naver.com/houses?ms=37.5344483,127.0831475,15&amp;a=VL:DDDGG:JWJT:SGJT:HOJT&amp;e=RETAIL&amp;articleNo=2133361418", "서울시 광진구 자양동 48-6")</f>
        <v/>
      </c>
    </row>
    <row r="288">
      <c r="A288" s="1" t="n">
        <v>0</v>
      </c>
      <c r="B288" t="inlineStr">
        <is>
          <t>서울시 광진구 자양동 225-83</t>
        </is>
      </c>
      <c r="C288" t="inlineStr">
        <is>
          <t>21.12.17.</t>
        </is>
      </c>
      <c r="D288" t="inlineStr">
        <is>
          <t>매매</t>
        </is>
      </c>
      <c r="E288" t="inlineStr">
        <is>
          <t>3억 1,000</t>
        </is>
      </c>
      <c r="F288" t="inlineStr">
        <is>
          <t>57/46m², 4/4층, 남향</t>
        </is>
      </c>
      <c r="G288" t="inlineStr">
        <is>
          <t>우리공인중개사사무소</t>
        </is>
      </c>
      <c r="H288">
        <f>HYPERLINK("https://new.land.naver.com/houses?ms=37.5344483,127.0831475,15&amp;a=VL:DDDGG:JWJT:SGJT:HOJT&amp;e=RETAIL&amp;articleNo=2133641564", "서울시 광진구 자양동 225-83")</f>
        <v/>
      </c>
    </row>
    <row r="289">
      <c r="A289" s="1" t="n">
        <v>0</v>
      </c>
      <c r="B289" t="inlineStr">
        <is>
          <t>서울시 광진구 자양동 588-9</t>
        </is>
      </c>
      <c r="C289" t="inlineStr">
        <is>
          <t>21.12.17.</t>
        </is>
      </c>
      <c r="D289" t="inlineStr">
        <is>
          <t>월세</t>
        </is>
      </c>
      <c r="E289" t="inlineStr">
        <is>
          <t>2,000/70</t>
        </is>
      </c>
      <c r="F289" t="inlineStr">
        <is>
          <t>48/48m², 2/3층, 남동향</t>
        </is>
      </c>
      <c r="G289" t="inlineStr">
        <is>
          <t>어울림공인중개사사무소</t>
        </is>
      </c>
      <c r="H289">
        <f>HYPERLINK("https://new.land.naver.com/houses?ms=37.5344483,127.0831475,15&amp;a=VL:DDDGG:JWJT:SGJT:HOJT&amp;e=RETAIL&amp;articleNo=2133661446", "서울시 광진구 자양동 588-9")</f>
        <v/>
      </c>
    </row>
    <row r="290">
      <c r="A290" s="1" t="n">
        <v>0</v>
      </c>
      <c r="B290" t="inlineStr">
        <is>
          <t>서울시 광진구 자양동 599-7</t>
        </is>
      </c>
      <c r="C290" t="inlineStr">
        <is>
          <t>21.12.06.</t>
        </is>
      </c>
      <c r="D290" t="inlineStr">
        <is>
          <t>전세</t>
        </is>
      </c>
      <c r="E290" t="inlineStr">
        <is>
          <t>2억 2,000</t>
        </is>
      </c>
      <c r="F290" t="inlineStr">
        <is>
          <t>46/39m², 3/4층, 동향</t>
        </is>
      </c>
      <c r="G290" t="inlineStr">
        <is>
          <t>가나공인중개사사무소</t>
        </is>
      </c>
      <c r="H290">
        <f>HYPERLINK("https://new.land.naver.com/houses?ms=37.5344483,127.0831475,15&amp;a=VL:DDDGG:JWJT:SGJT:HOJT&amp;e=RETAIL&amp;articleNo=2132352342", "서울시 광진구 자양동 599-7")</f>
        <v/>
      </c>
    </row>
    <row r="291">
      <c r="A291" s="1" t="n">
        <v>0</v>
      </c>
      <c r="B291" t="inlineStr">
        <is>
          <t>서울시 광진구 자양동 553-314</t>
        </is>
      </c>
      <c r="C291" t="inlineStr">
        <is>
          <t>21.12.17.</t>
        </is>
      </c>
      <c r="D291" t="inlineStr">
        <is>
          <t>매매</t>
        </is>
      </c>
      <c r="E291" t="inlineStr">
        <is>
          <t>14억</t>
        </is>
      </c>
      <c r="F291" t="inlineStr">
        <is>
          <t>167/116m², 5/7층, 남서향</t>
        </is>
      </c>
      <c r="G291" t="inlineStr">
        <is>
          <t>새우리공인중개사사무소</t>
        </is>
      </c>
      <c r="H291">
        <f>HYPERLINK("https://new.land.naver.com/houses?ms=37.5344483,127.0831475,15&amp;a=VL:DDDGG:JWJT:SGJT:HOJT&amp;e=RETAIL&amp;articleNo=2133642602", "서울시 광진구 자양동 553-314")</f>
        <v/>
      </c>
    </row>
    <row r="292">
      <c r="A292" s="1" t="n">
        <v>0</v>
      </c>
      <c r="B292" t="inlineStr">
        <is>
          <t>서울시 광진구 자양동 650-44</t>
        </is>
      </c>
      <c r="C292" t="inlineStr">
        <is>
          <t>21.12.20.</t>
        </is>
      </c>
      <c r="D292" t="inlineStr">
        <is>
          <t>월세</t>
        </is>
      </c>
      <c r="E292" t="inlineStr">
        <is>
          <t>2억/80</t>
        </is>
      </c>
      <c r="F292" t="inlineStr">
        <is>
          <t>76/66m², 2/5층, 남향</t>
        </is>
      </c>
      <c r="G292" t="inlineStr">
        <is>
          <t>부동산신화공인중개사사무소</t>
        </is>
      </c>
      <c r="H292">
        <f>HYPERLINK("https://new.land.naver.com/houses?ms=37.5344483,127.0831475,15&amp;a=VL:DDDGG:JWJT:SGJT:HOJT&amp;e=RETAIL&amp;articleNo=2133929558", "서울시 광진구 자양동 650-44")</f>
        <v/>
      </c>
    </row>
    <row r="293">
      <c r="A293" s="1" t="n">
        <v>0</v>
      </c>
      <c r="B293" t="inlineStr">
        <is>
          <t>서울시 광진구 자양동 771-24</t>
        </is>
      </c>
      <c r="C293" t="inlineStr">
        <is>
          <t>21.12.17.</t>
        </is>
      </c>
      <c r="D293" t="inlineStr">
        <is>
          <t>전세</t>
        </is>
      </c>
      <c r="E293" t="inlineStr">
        <is>
          <t>4억 1,000</t>
        </is>
      </c>
      <c r="F293" t="inlineStr">
        <is>
          <t>73/59m², 3/5층, 남동향</t>
        </is>
      </c>
      <c r="G293" t="inlineStr">
        <is>
          <t>우리부동산공인중개사사무소</t>
        </is>
      </c>
      <c r="H293">
        <f>HYPERLINK("https://new.land.naver.com/houses?ms=37.5344483,127.0831475,15&amp;a=VL:DDDGG:JWJT:SGJT:HOJT&amp;e=RETAIL&amp;articleNo=2133591289", "서울시 광진구 자양동 771-24")</f>
        <v/>
      </c>
    </row>
    <row r="294">
      <c r="A294" s="1" t="n">
        <v>0</v>
      </c>
      <c r="B294" t="inlineStr">
        <is>
          <t>서울시 광진구 자양동 601-3</t>
        </is>
      </c>
      <c r="C294" t="inlineStr">
        <is>
          <t>21.12.11.</t>
        </is>
      </c>
      <c r="D294" t="inlineStr">
        <is>
          <t>매매</t>
        </is>
      </c>
      <c r="E294" t="inlineStr">
        <is>
          <t>6억 5,000</t>
        </is>
      </c>
      <c r="F294" t="inlineStr">
        <is>
          <t>91/70m², 3/8층, 동향</t>
        </is>
      </c>
      <c r="G294" t="inlineStr">
        <is>
          <t>우정공인중개사사무소</t>
        </is>
      </c>
      <c r="H294">
        <f>HYPERLINK("https://new.land.naver.com/houses?ms=37.5344483,127.0831475,15&amp;a=VL:DDDGG:JWJT:SGJT:HOJT&amp;e=RETAIL&amp;articleNo=2132973382", "서울시 광진구 자양동 601-3")</f>
        <v/>
      </c>
    </row>
    <row r="295">
      <c r="A295" s="1" t="n">
        <v>0</v>
      </c>
      <c r="B295" t="inlineStr">
        <is>
          <t>서울시 광진구 자양동 553-359</t>
        </is>
      </c>
      <c r="C295" t="inlineStr">
        <is>
          <t>21.12.17.</t>
        </is>
      </c>
      <c r="D295" t="inlineStr">
        <is>
          <t>월세</t>
        </is>
      </c>
      <c r="E295" t="inlineStr">
        <is>
          <t>1,000/30</t>
        </is>
      </c>
      <c r="F295" t="inlineStr">
        <is>
          <t>23/23m², 1/2층, 북동향</t>
        </is>
      </c>
      <c r="G295" t="inlineStr">
        <is>
          <t>다람부동산공인중개사사무소</t>
        </is>
      </c>
      <c r="H295">
        <f>HYPERLINK("https://new.land.naver.com/houses?ms=37.5344483,127.0831475,15&amp;a=VL:DDDGG:JWJT:SGJT:HOJT&amp;e=RETAIL&amp;articleNo=2133578366", "서울시 광진구 자양동 553-359")</f>
        <v/>
      </c>
    </row>
    <row r="296">
      <c r="A296" s="1" t="n">
        <v>0</v>
      </c>
      <c r="B296" t="inlineStr">
        <is>
          <t>서울시 광진구 자양동 597-15</t>
        </is>
      </c>
      <c r="C296" t="inlineStr">
        <is>
          <t>21.12.13.</t>
        </is>
      </c>
      <c r="D296" t="inlineStr">
        <is>
          <t>매매</t>
        </is>
      </c>
      <c r="E296" t="inlineStr">
        <is>
          <t>13억</t>
        </is>
      </c>
      <c r="F296" t="inlineStr">
        <is>
          <t>130/273m², 3/B1층, 남향</t>
        </is>
      </c>
      <c r="G296" t="inlineStr">
        <is>
          <t>LBA제일공인중개사사무소</t>
        </is>
      </c>
      <c r="H296">
        <f>HYPERLINK("https://new.land.naver.com/houses?ms=37.5344483,127.0831475,15&amp;a=VL:DDDGG:JWJT:SGJT:HOJT&amp;e=RETAIL&amp;articleNo=2133072035", "서울시 광진구 자양동 597-15")</f>
        <v/>
      </c>
    </row>
    <row r="297">
      <c r="A297" s="1" t="n">
        <v>0</v>
      </c>
      <c r="B297" t="inlineStr">
        <is>
          <t>서울시 광진구 자양동 463-2</t>
        </is>
      </c>
      <c r="C297" t="inlineStr">
        <is>
          <t>21.12.17.</t>
        </is>
      </c>
      <c r="D297" t="inlineStr">
        <is>
          <t>월세</t>
        </is>
      </c>
      <c r="E297" t="inlineStr">
        <is>
          <t>100/17</t>
        </is>
      </c>
      <c r="F297" t="inlineStr">
        <is>
          <t>12/12m², B1/2층, 동향</t>
        </is>
      </c>
      <c r="G297" t="inlineStr">
        <is>
          <t>현진공인중개사</t>
        </is>
      </c>
      <c r="H297">
        <f>HYPERLINK("https://new.land.naver.com/houses?ms=37.5344483,127.0831475,15&amp;a=VL:DDDGG:JWJT:SGJT:HOJT&amp;e=RETAIL&amp;articleNo=2133637643", "서울시 광진구 자양동 463-2")</f>
        <v/>
      </c>
    </row>
    <row r="298">
      <c r="A298" s="1" t="n">
        <v>0</v>
      </c>
      <c r="B298" t="inlineStr">
        <is>
          <t>서울시 광진구 자양동 227-156</t>
        </is>
      </c>
      <c r="C298" t="inlineStr">
        <is>
          <t>21.12.16.</t>
        </is>
      </c>
      <c r="D298" t="inlineStr">
        <is>
          <t>매매</t>
        </is>
      </c>
      <c r="E298" t="inlineStr">
        <is>
          <t>3억 8,000</t>
        </is>
      </c>
      <c r="F298" t="inlineStr">
        <is>
          <t>32/26m², 4/5층, 서향</t>
        </is>
      </c>
      <c r="G298" t="inlineStr">
        <is>
          <t>직거래</t>
        </is>
      </c>
      <c r="H298">
        <f>HYPERLINK("https://new.land.naver.com/houses?ms=37.5344483,127.0831475,15&amp;a=VL:DDDGG:JWJT:SGJT:HOJT&amp;e=RETAIL&amp;articleNo=2133457155", "서울시 광진구 자양동 227-156")</f>
        <v/>
      </c>
    </row>
    <row r="299">
      <c r="A299" s="1" t="n">
        <v>0</v>
      </c>
      <c r="B299" t="inlineStr">
        <is>
          <t>서울시 광진구 자양동 651-34</t>
        </is>
      </c>
      <c r="C299" t="inlineStr">
        <is>
          <t>21.12.11.</t>
        </is>
      </c>
      <c r="D299" t="inlineStr">
        <is>
          <t>전세</t>
        </is>
      </c>
      <c r="E299" t="inlineStr">
        <is>
          <t>2억 5,000</t>
        </is>
      </c>
      <c r="F299" t="inlineStr">
        <is>
          <t>62/59m², 4/5층, 동향</t>
        </is>
      </c>
      <c r="G299" t="inlineStr">
        <is>
          <t>부동산뉴스공인중개사사무소</t>
        </is>
      </c>
      <c r="H299">
        <f>HYPERLINK("https://new.land.naver.com/houses?ms=37.5344483,127.0831475,15&amp;a=VL:DDDGG:JWJT:SGJT:HOJT&amp;e=RETAIL&amp;articleNo=2132994770", "서울시 광진구 자양동 651-34")</f>
        <v/>
      </c>
    </row>
    <row r="300">
      <c r="A300" s="1" t="n">
        <v>0</v>
      </c>
      <c r="B300" t="inlineStr">
        <is>
          <t>서울시 광진구 자양동 772-9</t>
        </is>
      </c>
      <c r="C300" t="inlineStr">
        <is>
          <t>21.12.16.</t>
        </is>
      </c>
      <c r="D300" t="inlineStr">
        <is>
          <t>월세</t>
        </is>
      </c>
      <c r="E300" t="inlineStr">
        <is>
          <t>100/35</t>
        </is>
      </c>
      <c r="F300" t="inlineStr">
        <is>
          <t>17/16m², B1/2층, 남동향</t>
        </is>
      </c>
      <c r="G300" t="inlineStr">
        <is>
          <t>우리부동산공인중개사사무소</t>
        </is>
      </c>
      <c r="H300">
        <f>HYPERLINK("https://new.land.naver.com/houses?ms=37.5344483,127.0831475,15&amp;a=VL:DDDGG:JWJT:SGJT:HOJT&amp;e=RETAIL&amp;articleNo=2133497089", "서울시 광진구 자양동 772-9")</f>
        <v/>
      </c>
    </row>
    <row r="301">
      <c r="A301" s="1" t="n">
        <v>0</v>
      </c>
      <c r="B301" t="inlineStr">
        <is>
          <t>서울시 광진구 자양동 799-1</t>
        </is>
      </c>
      <c r="C301" t="inlineStr">
        <is>
          <t>21.12.16.</t>
        </is>
      </c>
      <c r="D301" t="inlineStr">
        <is>
          <t>월세</t>
        </is>
      </c>
      <c r="E301" t="inlineStr">
        <is>
          <t>500/47</t>
        </is>
      </c>
      <c r="F301" t="inlineStr">
        <is>
          <t>38/38m², B1/2층, 서향</t>
        </is>
      </c>
      <c r="G301" t="inlineStr">
        <is>
          <t>뉴엘리트공인중개사사무소</t>
        </is>
      </c>
      <c r="H301">
        <f>HYPERLINK("https://new.land.naver.com/houses?ms=37.5344483,127.0831475,15&amp;a=VL:DDDGG:JWJT:SGJT:HOJT&amp;e=RETAIL&amp;articleNo=2133571129", "서울시 광진구 자양동 799-1")</f>
        <v/>
      </c>
    </row>
    <row r="302">
      <c r="A302" s="1" t="n">
        <v>0</v>
      </c>
      <c r="B302" t="inlineStr">
        <is>
          <t>서울시 광진구 자양동 634-21</t>
        </is>
      </c>
      <c r="C302" t="inlineStr">
        <is>
          <t>21.12.10.</t>
        </is>
      </c>
      <c r="D302" t="inlineStr">
        <is>
          <t>월세</t>
        </is>
      </c>
      <c r="E302" t="inlineStr">
        <is>
          <t>1억/150</t>
        </is>
      </c>
      <c r="F302" t="inlineStr">
        <is>
          <t>55/55m², 4/5층, 남향</t>
        </is>
      </c>
      <c r="G302" t="inlineStr">
        <is>
          <t>태영부동산 공인중개사사무소</t>
        </is>
      </c>
      <c r="H302">
        <f>HYPERLINK("https://new.land.naver.com/houses?ms=37.5344483,127.0831475,15&amp;a=VL:DDDGG:JWJT:SGJT:HOJT&amp;e=RETAIL&amp;articleNo=2132843258", "서울시 광진구 자양동 634-21")</f>
        <v/>
      </c>
    </row>
    <row r="303">
      <c r="A303" s="1" t="n">
        <v>0</v>
      </c>
      <c r="B303" t="inlineStr">
        <is>
          <t>서울시 광진구 자양동 682-26</t>
        </is>
      </c>
      <c r="C303" t="inlineStr">
        <is>
          <t>22.01.03.</t>
        </is>
      </c>
      <c r="D303" t="inlineStr">
        <is>
          <t>전세</t>
        </is>
      </c>
      <c r="E303" t="inlineStr">
        <is>
          <t>2억 6,000</t>
        </is>
      </c>
      <c r="F303" t="inlineStr">
        <is>
          <t>32/30m², 1/2층, 남동향</t>
        </is>
      </c>
      <c r="G303" t="inlineStr">
        <is>
          <t>중앙공인중개사사무소</t>
        </is>
      </c>
      <c r="H303">
        <f>HYPERLINK("https://new.land.naver.com/houses?ms=37.5344483,127.0831475,15&amp;a=VL:DDDGG:JWJT:SGJT:HOJT&amp;e=RETAIL&amp;articleNo=2200198176", "서울시 광진구 자양동 682-26")</f>
        <v/>
      </c>
    </row>
    <row r="304">
      <c r="A304" s="1" t="n">
        <v>0</v>
      </c>
      <c r="B304" t="inlineStr">
        <is>
          <t>서울시 광진구 자양동 650-29</t>
        </is>
      </c>
      <c r="C304" t="inlineStr">
        <is>
          <t>21.12.14.</t>
        </is>
      </c>
      <c r="D304" t="inlineStr">
        <is>
          <t>월세</t>
        </is>
      </c>
      <c r="E304" t="inlineStr">
        <is>
          <t>1억/80</t>
        </is>
      </c>
      <c r="F304" t="inlineStr">
        <is>
          <t>47/45m², 2/4층, 남향</t>
        </is>
      </c>
      <c r="G304" t="inlineStr">
        <is>
          <t>굿모닝부동산</t>
        </is>
      </c>
      <c r="H304">
        <f>HYPERLINK("https://new.land.naver.com/houses?ms=37.5344483,127.0831475,15&amp;a=VL:DDDGG:JWJT:SGJT:HOJT&amp;e=RETAIL&amp;articleNo=2133319378", "서울시 광진구 자양동 650-29")</f>
        <v/>
      </c>
    </row>
    <row r="305">
      <c r="A305" s="1" t="n">
        <v>0</v>
      </c>
      <c r="B305" t="inlineStr">
        <is>
          <t>서울시 광진구 자양동 59-27</t>
        </is>
      </c>
      <c r="C305" t="inlineStr">
        <is>
          <t>21.12.16.</t>
        </is>
      </c>
      <c r="D305" t="inlineStr">
        <is>
          <t>전세</t>
        </is>
      </c>
      <c r="E305" t="inlineStr">
        <is>
          <t>1억 3,000</t>
        </is>
      </c>
      <c r="F305" t="inlineStr">
        <is>
          <t>23/20m², 1/3층, 남서향</t>
        </is>
      </c>
      <c r="G305" t="inlineStr">
        <is>
          <t>윤공인중개사사무소</t>
        </is>
      </c>
      <c r="H305">
        <f>HYPERLINK("https://new.land.naver.com/houses?ms=37.5344483,127.0831475,15&amp;a=VL:DDDGG:JWJT:SGJT:HOJT&amp;e=RETAIL&amp;articleNo=2133507601", "서울시 광진구 자양동 59-27")</f>
        <v/>
      </c>
    </row>
    <row r="306">
      <c r="A306" s="1" t="n">
        <v>0</v>
      </c>
      <c r="B306" t="inlineStr">
        <is>
          <t>서울시 광진구 자양동 622-7</t>
        </is>
      </c>
      <c r="C306" t="inlineStr">
        <is>
          <t>21.12.07.</t>
        </is>
      </c>
      <c r="D306" t="inlineStr">
        <is>
          <t>매매</t>
        </is>
      </c>
      <c r="E306" t="inlineStr">
        <is>
          <t>3억 4,000</t>
        </is>
      </c>
      <c r="F306" t="inlineStr">
        <is>
          <t>44/35m², 2/6층, 남향</t>
        </is>
      </c>
      <c r="G306" t="inlineStr">
        <is>
          <t>부경공인중개사사무소</t>
        </is>
      </c>
      <c r="H306">
        <f>HYPERLINK("https://new.land.naver.com/houses?ms=37.5344483,127.0831475,15&amp;a=VL:DDDGG:JWJT:SGJT:HOJT&amp;e=RETAIL&amp;articleNo=2132548660", "서울시 광진구 자양동 622-7")</f>
        <v/>
      </c>
    </row>
    <row r="307">
      <c r="A307" s="1" t="n">
        <v>0</v>
      </c>
      <c r="B307" t="inlineStr">
        <is>
          <t>서울시 광진구 자양동 774-5</t>
        </is>
      </c>
      <c r="C307" t="inlineStr">
        <is>
          <t>21.12.16.</t>
        </is>
      </c>
      <c r="D307" t="inlineStr">
        <is>
          <t>매매</t>
        </is>
      </c>
      <c r="E307" t="inlineStr">
        <is>
          <t>4억 1,000</t>
        </is>
      </c>
      <c r="F307" t="inlineStr">
        <is>
          <t>37/31m², 6/6층, 북향</t>
        </is>
      </c>
      <c r="G307" t="inlineStr">
        <is>
          <t>래미안공인중개사사무소</t>
        </is>
      </c>
      <c r="H307">
        <f>HYPERLINK("https://new.land.naver.com/houses?ms=37.5344483,127.0831475,15&amp;a=VL:DDDGG:JWJT:SGJT:HOJT&amp;e=RETAIL&amp;articleNo=2133489062", "서울시 광진구 자양동 774-5")</f>
        <v/>
      </c>
    </row>
    <row r="308">
      <c r="A308" s="1" t="n">
        <v>0</v>
      </c>
      <c r="B308" t="inlineStr">
        <is>
          <t>서울시 광진구 자양동 585-16</t>
        </is>
      </c>
      <c r="C308" t="inlineStr">
        <is>
          <t>21.12.16.</t>
        </is>
      </c>
      <c r="D308" t="inlineStr">
        <is>
          <t>매매</t>
        </is>
      </c>
      <c r="E308" t="inlineStr">
        <is>
          <t>19억</t>
        </is>
      </c>
      <c r="F308" t="inlineStr">
        <is>
          <t>79/62m², 중/2층, 동향</t>
        </is>
      </c>
      <c r="G308" t="inlineStr">
        <is>
          <t>어울림공인중개사사무소</t>
        </is>
      </c>
      <c r="H308">
        <f>HYPERLINK("https://new.land.naver.com/houses?ms=37.5344483,127.0831475,15&amp;a=VL:DDDGG:JWJT:SGJT:HOJT&amp;e=RETAIL&amp;articleNo=2133487156", "서울시 광진구 자양동 585-16")</f>
        <v/>
      </c>
    </row>
    <row r="309">
      <c r="A309" s="1" t="n">
        <v>0</v>
      </c>
      <c r="B309" t="inlineStr">
        <is>
          <t>서울시 광진구 자양동 637-39</t>
        </is>
      </c>
      <c r="C309" t="inlineStr">
        <is>
          <t>21.12.06.</t>
        </is>
      </c>
      <c r="D309" t="inlineStr">
        <is>
          <t>전세</t>
        </is>
      </c>
      <c r="E309" t="inlineStr">
        <is>
          <t>1억 5,000</t>
        </is>
      </c>
      <c r="F309" t="inlineStr">
        <is>
          <t>52/45m², 3/5층, 남서향</t>
        </is>
      </c>
      <c r="G309" t="inlineStr">
        <is>
          <t>새우리공인중개사사무소</t>
        </is>
      </c>
      <c r="H309">
        <f>HYPERLINK("https://new.land.naver.com/houses?ms=37.5344483,127.0831475,15&amp;a=VL:DDDGG:JWJT:SGJT:HOJT&amp;e=RETAIL&amp;articleNo=2132250363", "서울시 광진구 자양동 637-39")</f>
        <v/>
      </c>
    </row>
    <row r="310">
      <c r="A310" s="1" t="n">
        <v>0</v>
      </c>
      <c r="B310" t="inlineStr">
        <is>
          <t>서울시 광진구 자양동 249-27</t>
        </is>
      </c>
      <c r="C310" t="inlineStr">
        <is>
          <t>21.12.08.</t>
        </is>
      </c>
      <c r="D310" t="inlineStr">
        <is>
          <t>매매</t>
        </is>
      </c>
      <c r="E310" t="inlineStr">
        <is>
          <t>18억 5,000</t>
        </is>
      </c>
      <c r="F310" t="inlineStr">
        <is>
          <t>102/147m², 1/B2층, 서향</t>
        </is>
      </c>
      <c r="G310" t="inlineStr">
        <is>
          <t>행운부동산공인중개사사무소</t>
        </is>
      </c>
      <c r="H310">
        <f>HYPERLINK("https://new.land.naver.com/houses?ms=37.5344483,127.0831475,15&amp;a=VL:DDDGG:JWJT:SGJT:HOJT&amp;e=RETAIL&amp;articleNo=2132603915", "서울시 광진구 자양동 249-27")</f>
        <v/>
      </c>
    </row>
    <row r="311">
      <c r="A311" s="1" t="n">
        <v>0</v>
      </c>
      <c r="B311" t="inlineStr">
        <is>
          <t>서울시 광진구 자양동 623-5</t>
        </is>
      </c>
      <c r="C311" t="inlineStr">
        <is>
          <t>21.12.16.</t>
        </is>
      </c>
      <c r="D311" t="inlineStr">
        <is>
          <t>월세</t>
        </is>
      </c>
      <c r="E311" t="inlineStr">
        <is>
          <t>5,000/75</t>
        </is>
      </c>
      <c r="F311" t="inlineStr">
        <is>
          <t>66/59m², 중/4층, 남동향</t>
        </is>
      </c>
      <c r="G311" t="inlineStr">
        <is>
          <t>가온공인중개사사무소</t>
        </is>
      </c>
      <c r="H311">
        <f>HYPERLINK("https://new.land.naver.com/houses?ms=37.5344483,127.0831475,15&amp;a=VL:DDDGG:JWJT:SGJT:HOJT&amp;e=RETAIL&amp;articleNo=2133475224", "서울시 광진구 자양동 623-5")</f>
        <v/>
      </c>
    </row>
    <row r="312">
      <c r="A312" s="1" t="n">
        <v>0</v>
      </c>
      <c r="B312" t="inlineStr">
        <is>
          <t>서울시 광진구 자양동 465-1</t>
        </is>
      </c>
      <c r="C312" t="inlineStr">
        <is>
          <t>22.01.03.</t>
        </is>
      </c>
      <c r="D312" t="inlineStr">
        <is>
          <t>전세</t>
        </is>
      </c>
      <c r="E312" t="inlineStr">
        <is>
          <t>2억 2,000</t>
        </is>
      </c>
      <c r="F312" t="inlineStr">
        <is>
          <t>47/47m², 중/4층, 남향</t>
        </is>
      </c>
      <c r="G312" t="inlineStr">
        <is>
          <t>삼성부동산공인중개사사무소</t>
        </is>
      </c>
      <c r="H312">
        <f>HYPERLINK("https://new.land.naver.com/houses?ms=37.5344483,127.0831475,15&amp;a=VL:DDDGG:JWJT:SGJT:HOJT&amp;e=RETAIL&amp;articleNo=2200208439", "서울시 광진구 자양동 465-1")</f>
        <v/>
      </c>
    </row>
    <row r="313">
      <c r="A313" s="1" t="n">
        <v>0</v>
      </c>
      <c r="B313" t="inlineStr">
        <is>
          <t>서울시 광진구 자양동 639-22</t>
        </is>
      </c>
      <c r="C313" t="inlineStr">
        <is>
          <t>21.12.15.</t>
        </is>
      </c>
      <c r="D313" t="inlineStr">
        <is>
          <t>매매</t>
        </is>
      </c>
      <c r="E313" t="inlineStr">
        <is>
          <t>6억 5,000</t>
        </is>
      </c>
      <c r="F313" t="inlineStr">
        <is>
          <t>51/42m², 고/6층, 남향</t>
        </is>
      </c>
      <c r="G313" t="inlineStr">
        <is>
          <t>부동산신화공인중개사</t>
        </is>
      </c>
      <c r="H313">
        <f>HYPERLINK("https://new.land.naver.com/houses?ms=37.5344483,127.0831475,15&amp;a=VL:DDDGG:JWJT:SGJT:HOJT&amp;e=RETAIL&amp;articleNo=2133411774", "서울시 광진구 자양동 639-22")</f>
        <v/>
      </c>
    </row>
    <row r="314">
      <c r="A314" s="1" t="n">
        <v>0</v>
      </c>
      <c r="B314" t="inlineStr">
        <is>
          <t>서울시 광진구 자양동 656-14</t>
        </is>
      </c>
      <c r="C314" t="inlineStr">
        <is>
          <t>21.12.15.</t>
        </is>
      </c>
      <c r="D314" t="inlineStr">
        <is>
          <t>전세</t>
        </is>
      </c>
      <c r="E314" t="inlineStr">
        <is>
          <t>2억 4,000</t>
        </is>
      </c>
      <c r="F314" t="inlineStr">
        <is>
          <t>48/39m², 1/5층, 서향</t>
        </is>
      </c>
      <c r="G314" t="inlineStr">
        <is>
          <t>조은공인중개사사무소</t>
        </is>
      </c>
      <c r="H314">
        <f>HYPERLINK("https://new.land.naver.com/houses?ms=37.5344483,127.0831475,15&amp;a=VL:DDDGG:JWJT:SGJT:HOJT&amp;e=RETAIL&amp;articleNo=2133425001", "서울시 광진구 자양동 656-14")</f>
        <v/>
      </c>
    </row>
    <row r="315">
      <c r="A315" s="1" t="n">
        <v>0</v>
      </c>
      <c r="B315" t="inlineStr">
        <is>
          <t>서울시 광진구 자양동 59-2</t>
        </is>
      </c>
      <c r="C315" t="inlineStr">
        <is>
          <t>21.12.15.</t>
        </is>
      </c>
      <c r="D315" t="inlineStr">
        <is>
          <t>매매</t>
        </is>
      </c>
      <c r="E315" t="inlineStr">
        <is>
          <t>43억</t>
        </is>
      </c>
      <c r="F315" t="inlineStr">
        <is>
          <t>127/272m², 3/B1층, 동향</t>
        </is>
      </c>
      <c r="G315" t="inlineStr">
        <is>
          <t>한강공인중개사사무소</t>
        </is>
      </c>
      <c r="H315">
        <f>HYPERLINK("https://new.land.naver.com/houses?ms=37.5344483,127.0831475,15&amp;a=VL:DDDGG:JWJT:SGJT:HOJT&amp;e=RETAIL&amp;articleNo=2133391632", "서울시 광진구 자양동 59-2")</f>
        <v/>
      </c>
    </row>
    <row r="316">
      <c r="A316" s="1" t="n">
        <v>0</v>
      </c>
      <c r="B316" t="inlineStr">
        <is>
          <t>서울시 광진구 자양동 603-25</t>
        </is>
      </c>
      <c r="C316" t="inlineStr">
        <is>
          <t>21.12.21.</t>
        </is>
      </c>
      <c r="D316" t="inlineStr">
        <is>
          <t>전세</t>
        </is>
      </c>
      <c r="E316" t="inlineStr">
        <is>
          <t>2억 3,000</t>
        </is>
      </c>
      <c r="F316" t="inlineStr">
        <is>
          <t>47/47m², 2/5층, 남동향</t>
        </is>
      </c>
      <c r="G316" t="inlineStr">
        <is>
          <t>부동산미래i공인중개사사무소</t>
        </is>
      </c>
      <c r="H316">
        <f>HYPERLINK("https://new.land.naver.com/houses?ms=37.5344483,127.0831475,15&amp;a=VL:DDDGG:JWJT:SGJT:HOJT&amp;e=RETAIL&amp;articleNo=2134002767", "서울시 광진구 자양동 603-25")</f>
        <v/>
      </c>
    </row>
    <row r="317">
      <c r="A317" s="1" t="n">
        <v>0</v>
      </c>
      <c r="B317" t="inlineStr">
        <is>
          <t>서울시 광진구 자양동 603-2</t>
        </is>
      </c>
      <c r="C317" t="inlineStr">
        <is>
          <t>21.12.15.</t>
        </is>
      </c>
      <c r="D317" t="inlineStr">
        <is>
          <t>매매</t>
        </is>
      </c>
      <c r="E317" t="inlineStr">
        <is>
          <t>7억</t>
        </is>
      </c>
      <c r="F317" t="inlineStr">
        <is>
          <t>69/59m², 중/4층, 북동향</t>
        </is>
      </c>
      <c r="G317" t="inlineStr">
        <is>
          <t>무궁화공인중개사사무소</t>
        </is>
      </c>
      <c r="H317">
        <f>HYPERLINK("https://new.land.naver.com/houses?ms=37.5344483,127.0831475,15&amp;a=VL:DDDGG:JWJT:SGJT:HOJT&amp;e=RETAIL&amp;articleNo=2133376911", "서울시 광진구 자양동 603-2")</f>
        <v/>
      </c>
    </row>
    <row r="318">
      <c r="A318" s="1" t="n">
        <v>0</v>
      </c>
      <c r="B318" t="inlineStr">
        <is>
          <t>서울시 광진구 자양동 643-11</t>
        </is>
      </c>
      <c r="C318" t="inlineStr">
        <is>
          <t>21.12.14.</t>
        </is>
      </c>
      <c r="D318" t="inlineStr">
        <is>
          <t>전세</t>
        </is>
      </c>
      <c r="E318" t="inlineStr">
        <is>
          <t>4억 5,000</t>
        </is>
      </c>
      <c r="F318" t="inlineStr">
        <is>
          <t>67/54m², 6/7층, 남향</t>
        </is>
      </c>
      <c r="G318" t="inlineStr">
        <is>
          <t>세종부동산</t>
        </is>
      </c>
      <c r="H318">
        <f>HYPERLINK("https://new.land.naver.com/houses?ms=37.5344483,127.0831475,15&amp;a=VL:DDDGG:JWJT:SGJT:HOJT&amp;e=RETAIL&amp;articleNo=2133232591", "서울시 광진구 자양동 643-11")</f>
        <v/>
      </c>
    </row>
    <row r="319">
      <c r="A319" s="1" t="n">
        <v>0</v>
      </c>
      <c r="B319" t="inlineStr">
        <is>
          <t>서울시 광진구 자양동 226-20</t>
        </is>
      </c>
      <c r="C319" t="inlineStr">
        <is>
          <t>21.12.14.</t>
        </is>
      </c>
      <c r="D319" t="inlineStr">
        <is>
          <t>월세</t>
        </is>
      </c>
      <c r="E319" t="inlineStr">
        <is>
          <t>500/34</t>
        </is>
      </c>
      <c r="F319" t="inlineStr">
        <is>
          <t>16/15m², 1/3층, 북동향</t>
        </is>
      </c>
      <c r="G319" t="inlineStr">
        <is>
          <t>우리부동산공인중개사사무소</t>
        </is>
      </c>
      <c r="H319">
        <f>HYPERLINK("https://new.land.naver.com/houses?ms=37.5344483,127.0831475,15&amp;a=VL:DDDGG:JWJT:SGJT:HOJT&amp;e=RETAIL&amp;articleNo=2133222077", "서울시 광진구 자양동 226-20")</f>
        <v/>
      </c>
    </row>
    <row r="320">
      <c r="A320" s="1" t="n">
        <v>0</v>
      </c>
      <c r="B320" t="inlineStr">
        <is>
          <t>서울시 광진구 자양동 842-8</t>
        </is>
      </c>
      <c r="C320" t="inlineStr">
        <is>
          <t>21.12.29.</t>
        </is>
      </c>
      <c r="D320" t="inlineStr">
        <is>
          <t>전세</t>
        </is>
      </c>
      <c r="E320" t="inlineStr">
        <is>
          <t>9,000</t>
        </is>
      </c>
      <c r="F320" t="inlineStr">
        <is>
          <t>19/19m², B1/5층, 서향</t>
        </is>
      </c>
      <c r="G320" t="inlineStr">
        <is>
          <t>한울공인중개사사무소</t>
        </is>
      </c>
      <c r="H320">
        <f>HYPERLINK("https://new.land.naver.com/houses?ms=37.5344483,127.0831475,15&amp;a=VL:DDDGG:JWJT:SGJT:HOJT&amp;e=RETAIL&amp;articleNo=2134846849", "서울시 광진구 자양동 842-8")</f>
        <v/>
      </c>
    </row>
    <row r="321">
      <c r="A321" s="1" t="n">
        <v>0</v>
      </c>
      <c r="B321" t="inlineStr">
        <is>
          <t>서울시 광진구 자양동 643-2</t>
        </is>
      </c>
      <c r="C321" t="inlineStr">
        <is>
          <t>21.12.07.</t>
        </is>
      </c>
      <c r="D321" t="inlineStr">
        <is>
          <t>전세</t>
        </is>
      </c>
      <c r="E321" t="inlineStr">
        <is>
          <t>3억 5,000</t>
        </is>
      </c>
      <c r="F321" t="inlineStr">
        <is>
          <t>71/63m², 3/5층, 동향</t>
        </is>
      </c>
      <c r="G321" t="inlineStr">
        <is>
          <t>우정공인중개사사무소</t>
        </is>
      </c>
      <c r="H321">
        <f>HYPERLINK("https://new.land.naver.com/houses?ms=37.5344483,127.0831475,15&amp;a=VL:DDDGG:JWJT:SGJT:HOJT&amp;e=RETAIL&amp;articleNo=2132463212", "서울시 광진구 자양동 643-2")</f>
        <v/>
      </c>
    </row>
    <row r="322">
      <c r="A322" s="1" t="n">
        <v>0</v>
      </c>
      <c r="B322" t="inlineStr">
        <is>
          <t>서울시 광진구 자양동 92-9</t>
        </is>
      </c>
      <c r="C322" t="inlineStr">
        <is>
          <t>21.12.14.</t>
        </is>
      </c>
      <c r="D322" t="inlineStr">
        <is>
          <t>월세</t>
        </is>
      </c>
      <c r="E322" t="inlineStr">
        <is>
          <t>500/40</t>
        </is>
      </c>
      <c r="F322" t="inlineStr">
        <is>
          <t>30/30m², 저/2층, 동향</t>
        </is>
      </c>
      <c r="G322" t="inlineStr">
        <is>
          <t>현진공인중개사</t>
        </is>
      </c>
      <c r="H322">
        <f>HYPERLINK("https://new.land.naver.com/houses?ms=37.5344483,127.0831475,15&amp;a=VL:DDDGG:JWJT:SGJT:HOJT&amp;e=RETAIL&amp;articleNo=2133196709", "서울시 광진구 자양동 92-9")</f>
        <v/>
      </c>
    </row>
    <row r="323">
      <c r="A323" s="1" t="n">
        <v>0</v>
      </c>
      <c r="B323" t="inlineStr">
        <is>
          <t>서울시 광진구 자양동 685-13</t>
        </is>
      </c>
      <c r="C323" t="inlineStr">
        <is>
          <t>21.12.13.</t>
        </is>
      </c>
      <c r="D323" t="inlineStr">
        <is>
          <t>전세</t>
        </is>
      </c>
      <c r="E323" t="inlineStr">
        <is>
          <t>1억 9,000</t>
        </is>
      </c>
      <c r="F323" t="inlineStr">
        <is>
          <t>41/36m², 2/2층, 서향</t>
        </is>
      </c>
      <c r="G323" t="inlineStr">
        <is>
          <t>학사공인중개사사무소</t>
        </is>
      </c>
      <c r="H323">
        <f>HYPERLINK("https://new.land.naver.com/houses?ms=37.5344483,127.0831475,15&amp;a=VL:DDDGG:JWJT:SGJT:HOJT&amp;e=RETAIL&amp;articleNo=2133112349", "서울시 광진구 자양동 685-13")</f>
        <v/>
      </c>
    </row>
    <row r="324">
      <c r="A324" s="1" t="n">
        <v>0</v>
      </c>
      <c r="B324" t="inlineStr">
        <is>
          <t>서울시 광진구 자양동 51-35</t>
        </is>
      </c>
      <c r="C324" t="inlineStr">
        <is>
          <t>21.12.13.</t>
        </is>
      </c>
      <c r="D324" t="inlineStr">
        <is>
          <t>월세</t>
        </is>
      </c>
      <c r="E324" t="inlineStr">
        <is>
          <t>5,000/74</t>
        </is>
      </c>
      <c r="F324" t="inlineStr">
        <is>
          <t>45/45m², 2/5층, 남향</t>
        </is>
      </c>
      <c r="G324" t="inlineStr">
        <is>
          <t>노유공인중개사</t>
        </is>
      </c>
      <c r="H324">
        <f>HYPERLINK("https://new.land.naver.com/houses?ms=37.5344483,127.0831475,15&amp;a=VL:DDDGG:JWJT:SGJT:HOJT&amp;e=RETAIL&amp;articleNo=2133186264", "서울시 광진구 자양동 51-35")</f>
        <v/>
      </c>
    </row>
    <row r="325">
      <c r="A325" s="1" t="n">
        <v>0</v>
      </c>
      <c r="B325" t="inlineStr">
        <is>
          <t>서울시 광진구 자양동 227-212</t>
        </is>
      </c>
      <c r="C325" t="inlineStr">
        <is>
          <t>22.01.03.</t>
        </is>
      </c>
      <c r="D325" t="inlineStr">
        <is>
          <t>전세</t>
        </is>
      </c>
      <c r="E325" t="inlineStr">
        <is>
          <t>1억 5,000</t>
        </is>
      </c>
      <c r="F325" t="inlineStr">
        <is>
          <t>29/26m², 5/5층, 동향</t>
        </is>
      </c>
      <c r="G325" t="inlineStr">
        <is>
          <t>좋은소식공인중개사 사무소</t>
        </is>
      </c>
      <c r="H325">
        <f>HYPERLINK("https://new.land.naver.com/houses?ms=37.5344483,127.0831475,15&amp;a=VL:DDDGG:JWJT:SGJT:HOJT&amp;e=RETAIL&amp;articleNo=2200208518", "서울시 광진구 자양동 227-212")</f>
        <v/>
      </c>
    </row>
    <row r="326">
      <c r="A326" s="1" t="n">
        <v>0</v>
      </c>
      <c r="B326" t="inlineStr">
        <is>
          <t>서울시 광진구 자양동 633-23</t>
        </is>
      </c>
      <c r="C326" t="inlineStr">
        <is>
          <t>21.12.13.</t>
        </is>
      </c>
      <c r="D326" t="inlineStr">
        <is>
          <t>월세</t>
        </is>
      </c>
      <c r="E326" t="inlineStr">
        <is>
          <t>1,000/50</t>
        </is>
      </c>
      <c r="F326" t="inlineStr">
        <is>
          <t>37/37m², B1/3층, 동향</t>
        </is>
      </c>
      <c r="G326" t="inlineStr">
        <is>
          <t>부동산스타 공인중개사 사무소</t>
        </is>
      </c>
      <c r="H326">
        <f>HYPERLINK("https://new.land.naver.com/houses?ms=37.5344483,127.0831475,15&amp;a=VL:DDDGG:JWJT:SGJT:HOJT&amp;e=RETAIL&amp;articleNo=2133155144", "서울시 광진구 자양동 633-23")</f>
        <v/>
      </c>
    </row>
    <row r="327">
      <c r="A327" s="1" t="n">
        <v>0</v>
      </c>
      <c r="B327" t="inlineStr">
        <is>
          <t>서울시 광진구 자양동 45-39</t>
        </is>
      </c>
      <c r="C327" t="inlineStr">
        <is>
          <t>21.12.13.</t>
        </is>
      </c>
      <c r="D327" t="inlineStr">
        <is>
          <t>매매</t>
        </is>
      </c>
      <c r="E327" t="inlineStr">
        <is>
          <t>27억 9,000</t>
        </is>
      </c>
      <c r="F327" t="inlineStr">
        <is>
          <t>123/278m², 3/B1층, 남서향</t>
        </is>
      </c>
      <c r="G327" t="inlineStr">
        <is>
          <t>성동부동산공인중개사</t>
        </is>
      </c>
      <c r="H327">
        <f>HYPERLINK("https://new.land.naver.com/houses?ms=37.5344483,127.0831475,15&amp;a=VL:DDDGG:JWJT:SGJT:HOJT&amp;e=RETAIL&amp;articleNo=2133148937", "서울시 광진구 자양동 45-39")</f>
        <v/>
      </c>
    </row>
    <row r="328">
      <c r="A328" s="1" t="n">
        <v>0</v>
      </c>
      <c r="B328" t="inlineStr">
        <is>
          <t>서울시 광진구 자양동 199-2</t>
        </is>
      </c>
      <c r="C328" t="inlineStr">
        <is>
          <t>21.12.21.</t>
        </is>
      </c>
      <c r="D328" t="inlineStr">
        <is>
          <t>매매</t>
        </is>
      </c>
      <c r="E328" t="inlineStr">
        <is>
          <t>15억 9,000</t>
        </is>
      </c>
      <c r="F328" t="inlineStr">
        <is>
          <t>77/60m², 1/2층, 남서향</t>
        </is>
      </c>
      <c r="G328" t="inlineStr">
        <is>
          <t>코리아공인중개사사무소</t>
        </is>
      </c>
      <c r="H328">
        <f>HYPERLINK("https://new.land.naver.com/houses?ms=37.5344483,127.0831475,15&amp;a=VL:DDDGG:JWJT:SGJT:HOJT&amp;e=RETAIL&amp;articleNo=2134071671", "서울시 광진구 자양동 199-2")</f>
        <v/>
      </c>
    </row>
    <row r="329">
      <c r="A329" s="1" t="n">
        <v>0</v>
      </c>
      <c r="B329" t="inlineStr">
        <is>
          <t>서울시 광진구 자양동 229-26</t>
        </is>
      </c>
      <c r="C329" t="inlineStr">
        <is>
          <t>21.12.13.</t>
        </is>
      </c>
      <c r="D329" t="inlineStr">
        <is>
          <t>전세</t>
        </is>
      </c>
      <c r="E329" t="inlineStr">
        <is>
          <t>1억 7,000</t>
        </is>
      </c>
      <c r="F329" t="inlineStr">
        <is>
          <t>34/34m², 1/2층, 남서향</t>
        </is>
      </c>
      <c r="G329" t="inlineStr">
        <is>
          <t>정공인중개사사무소</t>
        </is>
      </c>
      <c r="H329">
        <f>HYPERLINK("https://new.land.naver.com/houses?ms=37.5344483,127.0831475,15&amp;a=VL:DDDGG:JWJT:SGJT:HOJT&amp;e=RETAIL&amp;articleNo=2133125158", "서울시 광진구 자양동 229-26")</f>
        <v/>
      </c>
    </row>
    <row r="330">
      <c r="A330" s="1" t="n">
        <v>0</v>
      </c>
      <c r="B330" t="inlineStr">
        <is>
          <t>서울시 광진구 자양동 639-2</t>
        </is>
      </c>
      <c r="C330" t="inlineStr">
        <is>
          <t>21.12.13.</t>
        </is>
      </c>
      <c r="D330" t="inlineStr">
        <is>
          <t>월세</t>
        </is>
      </c>
      <c r="E330" t="inlineStr">
        <is>
          <t>1,000/50</t>
        </is>
      </c>
      <c r="F330" t="inlineStr">
        <is>
          <t>34/33m², 3/4층, 남향</t>
        </is>
      </c>
      <c r="G330" t="inlineStr">
        <is>
          <t>영진부동산공인중개사사무소</t>
        </is>
      </c>
      <c r="H330">
        <f>HYPERLINK("https://new.land.naver.com/houses?ms=37.5344483,127.0831475,15&amp;a=VL:DDDGG:JWJT:SGJT:HOJT&amp;e=RETAIL&amp;articleNo=2133118250", "서울시 광진구 자양동 639-2")</f>
        <v/>
      </c>
    </row>
    <row r="331">
      <c r="A331" s="1" t="n">
        <v>0</v>
      </c>
      <c r="B331" t="inlineStr">
        <is>
          <t>서울시 광진구 자양동 16-24</t>
        </is>
      </c>
      <c r="C331" t="inlineStr">
        <is>
          <t>21.12.13.</t>
        </is>
      </c>
      <c r="D331" t="inlineStr">
        <is>
          <t>전세</t>
        </is>
      </c>
      <c r="E331" t="inlineStr">
        <is>
          <t>1억</t>
        </is>
      </c>
      <c r="F331" t="inlineStr">
        <is>
          <t>264/30m², 2/4층, 북향</t>
        </is>
      </c>
      <c r="G331" t="inlineStr">
        <is>
          <t>황금부동산공인중개사사무소</t>
        </is>
      </c>
      <c r="H331">
        <f>HYPERLINK("https://new.land.naver.com/houses?ms=37.5344483,127.0831475,15&amp;a=VL:DDDGG:JWJT:SGJT:HOJT&amp;e=RETAIL&amp;articleNo=2133083291", "서울시 광진구 자양동 16-24")</f>
        <v/>
      </c>
    </row>
    <row r="332">
      <c r="A332" s="1" t="n">
        <v>0</v>
      </c>
      <c r="B332" t="inlineStr">
        <is>
          <t>서울시 광진구 자양동 225-52</t>
        </is>
      </c>
      <c r="C332" t="inlineStr">
        <is>
          <t>21.12.13.</t>
        </is>
      </c>
      <c r="D332" t="inlineStr">
        <is>
          <t>매매</t>
        </is>
      </c>
      <c r="E332" t="inlineStr">
        <is>
          <t>55억</t>
        </is>
      </c>
      <c r="F332" t="inlineStr">
        <is>
          <t>448/1219m², 6/0층, 북동향</t>
        </is>
      </c>
      <c r="G332" t="inlineStr">
        <is>
          <t>LG부동산공인중개사사무소</t>
        </is>
      </c>
      <c r="H332">
        <f>HYPERLINK("https://new.land.naver.com/houses?ms=37.5344483,127.0831475,15&amp;a=VL:DDDGG:JWJT:SGJT:HOJT&amp;e=RETAIL&amp;articleNo=2133055069", "서울시 광진구 자양동 225-52")</f>
        <v/>
      </c>
    </row>
    <row r="333">
      <c r="A333" s="1" t="n">
        <v>0</v>
      </c>
      <c r="B333" t="inlineStr">
        <is>
          <t>서울시 광진구 자양동 225-45</t>
        </is>
      </c>
      <c r="C333" t="inlineStr">
        <is>
          <t>21.12.13.</t>
        </is>
      </c>
      <c r="D333" t="inlineStr">
        <is>
          <t>매매</t>
        </is>
      </c>
      <c r="E333" t="inlineStr">
        <is>
          <t>5억 2,000</t>
        </is>
      </c>
      <c r="F333" t="inlineStr">
        <is>
          <t>35/29m², 5/6층, 동향</t>
        </is>
      </c>
      <c r="G333" t="inlineStr">
        <is>
          <t>뉴엘리트공인중개사사무소</t>
        </is>
      </c>
      <c r="H333">
        <f>HYPERLINK("https://new.land.naver.com/houses?ms=37.5344483,127.0831475,15&amp;a=VL:DDDGG:JWJT:SGJT:HOJT&amp;e=RETAIL&amp;articleNo=2133047563", "서울시 광진구 자양동 225-45")</f>
        <v/>
      </c>
    </row>
    <row r="334">
      <c r="A334" s="1" t="n">
        <v>0</v>
      </c>
      <c r="B334" t="inlineStr">
        <is>
          <t>서울시 광진구 자양동 664-8</t>
        </is>
      </c>
      <c r="C334" t="inlineStr">
        <is>
          <t>21.12.27.</t>
        </is>
      </c>
      <c r="D334" t="inlineStr">
        <is>
          <t>월세</t>
        </is>
      </c>
      <c r="E334" t="inlineStr">
        <is>
          <t>5,000/80</t>
        </is>
      </c>
      <c r="F334" t="inlineStr">
        <is>
          <t>52/49m², 2/4층, 남향</t>
        </is>
      </c>
      <c r="G334" t="inlineStr">
        <is>
          <t>LBA제일공인중개사사무소</t>
        </is>
      </c>
      <c r="H334">
        <f>HYPERLINK("https://new.land.naver.com/houses?ms=37.5344483,127.0831475,15&amp;a=VL:DDDGG:JWJT:SGJT:HOJT&amp;e=RETAIL&amp;articleNo=2134591003", "서울시 광진구 자양동 664-8")</f>
        <v/>
      </c>
    </row>
    <row r="335">
      <c r="A335" s="1" t="n">
        <v>0</v>
      </c>
      <c r="B335" t="inlineStr">
        <is>
          <t>서울시 광진구 자양동 640-24</t>
        </is>
      </c>
      <c r="C335" t="inlineStr">
        <is>
          <t>21.12.11.</t>
        </is>
      </c>
      <c r="D335" t="inlineStr">
        <is>
          <t>매매</t>
        </is>
      </c>
      <c r="E335" t="inlineStr">
        <is>
          <t>2억 6,000</t>
        </is>
      </c>
      <c r="F335" t="inlineStr">
        <is>
          <t>37/32m², B1/3층, 동향</t>
        </is>
      </c>
      <c r="G335" t="inlineStr">
        <is>
          <t>부동산신화공인중개사</t>
        </is>
      </c>
      <c r="H335">
        <f>HYPERLINK("https://new.land.naver.com/houses?ms=37.5344483,127.0831475,15&amp;a=VL:DDDGG:JWJT:SGJT:HOJT&amp;e=RETAIL&amp;articleNo=2133012284", "서울시 광진구 자양동 640-24")</f>
        <v/>
      </c>
    </row>
    <row r="336">
      <c r="A336" s="1" t="n">
        <v>0</v>
      </c>
      <c r="B336" t="inlineStr">
        <is>
          <t>서울시 광진구 자양동 651-39</t>
        </is>
      </c>
      <c r="C336" t="inlineStr">
        <is>
          <t>21.12.10.</t>
        </is>
      </c>
      <c r="D336" t="inlineStr">
        <is>
          <t>월세</t>
        </is>
      </c>
      <c r="E336" t="inlineStr">
        <is>
          <t>2,000/45</t>
        </is>
      </c>
      <c r="F336" t="inlineStr">
        <is>
          <t>40/34m², 1/3층, 동향</t>
        </is>
      </c>
      <c r="G336" t="inlineStr">
        <is>
          <t>부동산신화공인중개사</t>
        </is>
      </c>
      <c r="H336">
        <f>HYPERLINK("https://new.land.naver.com/houses?ms=37.5344483,127.0831475,15&amp;a=VL:DDDGG:JWJT:SGJT:HOJT&amp;e=RETAIL&amp;articleNo=2132813100", "서울시 광진구 자양동 651-39")</f>
        <v/>
      </c>
    </row>
    <row r="337">
      <c r="A337" s="1" t="n">
        <v>0</v>
      </c>
      <c r="B337" t="inlineStr">
        <is>
          <t>서울시 광진구 자양동 584</t>
        </is>
      </c>
      <c r="C337" t="inlineStr">
        <is>
          <t>21.12.11.</t>
        </is>
      </c>
      <c r="D337" t="inlineStr">
        <is>
          <t>월세</t>
        </is>
      </c>
      <c r="E337" t="inlineStr">
        <is>
          <t>500/55</t>
        </is>
      </c>
      <c r="F337" t="inlineStr">
        <is>
          <t>23/23m², 고/3층, 서향</t>
        </is>
      </c>
      <c r="G337" t="inlineStr">
        <is>
          <t>어울림공인중개사사무소</t>
        </is>
      </c>
      <c r="H337">
        <f>HYPERLINK("https://new.land.naver.com/houses?ms=37.5344483,127.0831475,15&amp;a=VL:DDDGG:JWJT:SGJT:HOJT&amp;e=RETAIL&amp;articleNo=2133000056", "서울시 광진구 자양동 584")</f>
        <v/>
      </c>
    </row>
    <row r="338">
      <c r="A338" s="1" t="n">
        <v>0</v>
      </c>
      <c r="B338" t="inlineStr">
        <is>
          <t>서울시 광진구 자양동 690-53</t>
        </is>
      </c>
      <c r="C338" t="inlineStr">
        <is>
          <t>21.12.08.</t>
        </is>
      </c>
      <c r="D338" t="inlineStr">
        <is>
          <t>월세</t>
        </is>
      </c>
      <c r="E338" t="inlineStr">
        <is>
          <t>3,000/50</t>
        </is>
      </c>
      <c r="F338" t="inlineStr">
        <is>
          <t>30/27m², 3/5층, 남동향</t>
        </is>
      </c>
      <c r="G338" t="inlineStr">
        <is>
          <t>성지공인중개사사무소</t>
        </is>
      </c>
      <c r="H338">
        <f>HYPERLINK("https://new.land.naver.com/houses?ms=37.5344483,127.0831475,15&amp;a=VL:DDDGG:JWJT:SGJT:HOJT&amp;e=RETAIL&amp;articleNo=2132569717", "서울시 광진구 자양동 690-53")</f>
        <v/>
      </c>
    </row>
    <row r="339">
      <c r="A339" s="1" t="n">
        <v>0</v>
      </c>
      <c r="B339" t="inlineStr">
        <is>
          <t>서울시 광진구 자양동 772-2</t>
        </is>
      </c>
      <c r="C339" t="inlineStr">
        <is>
          <t>21.12.11.</t>
        </is>
      </c>
      <c r="D339" t="inlineStr">
        <is>
          <t>월세</t>
        </is>
      </c>
      <c r="E339" t="inlineStr">
        <is>
          <t>500/45</t>
        </is>
      </c>
      <c r="F339" t="inlineStr">
        <is>
          <t>30/28m², B1/2층, 남동향</t>
        </is>
      </c>
      <c r="G339" t="inlineStr">
        <is>
          <t>우리부동산공인중개사사무소</t>
        </is>
      </c>
      <c r="H339">
        <f>HYPERLINK("https://new.land.naver.com/houses?ms=37.5344483,127.0831475,15&amp;a=VL:DDDGG:JWJT:SGJT:HOJT&amp;e=RETAIL&amp;articleNo=2132944701", "서울시 광진구 자양동 772-2")</f>
        <v/>
      </c>
    </row>
    <row r="340">
      <c r="A340" s="1" t="n">
        <v>0</v>
      </c>
      <c r="B340" t="inlineStr">
        <is>
          <t>서울시 광진구 자양동 640-7</t>
        </is>
      </c>
      <c r="C340" t="inlineStr">
        <is>
          <t>21.12.10.</t>
        </is>
      </c>
      <c r="D340" t="inlineStr">
        <is>
          <t>월세</t>
        </is>
      </c>
      <c r="E340" t="inlineStr">
        <is>
          <t>500/30</t>
        </is>
      </c>
      <c r="F340" t="inlineStr">
        <is>
          <t>39/38m², B1/3층, 남향</t>
        </is>
      </c>
      <c r="G340" t="inlineStr">
        <is>
          <t>영진부동산공인중개사사무소</t>
        </is>
      </c>
      <c r="H340">
        <f>HYPERLINK("https://new.land.naver.com/houses?ms=37.5344483,127.0831475,15&amp;a=VL:DDDGG:JWJT:SGJT:HOJT&amp;e=RETAIL&amp;articleNo=2132866015", "서울시 광진구 자양동 640-7")</f>
        <v/>
      </c>
    </row>
    <row r="341">
      <c r="A341" s="1" t="n">
        <v>0</v>
      </c>
      <c r="B341" t="inlineStr">
        <is>
          <t>서울시 광진구 자양동 770-24</t>
        </is>
      </c>
      <c r="C341" t="inlineStr">
        <is>
          <t>21.12.10.</t>
        </is>
      </c>
      <c r="D341" t="inlineStr">
        <is>
          <t>월세</t>
        </is>
      </c>
      <c r="E341" t="inlineStr">
        <is>
          <t>5,000/50</t>
        </is>
      </c>
      <c r="F341" t="inlineStr">
        <is>
          <t>30/27m², 2/2층, 남동향</t>
        </is>
      </c>
      <c r="G341" t="inlineStr">
        <is>
          <t>우리부동산공인중개사사무소</t>
        </is>
      </c>
      <c r="H341">
        <f>HYPERLINK("https://new.land.naver.com/houses?ms=37.5344483,127.0831475,15&amp;a=VL:DDDGG:JWJT:SGJT:HOJT&amp;e=RETAIL&amp;articleNo=2132908040", "서울시 광진구 자양동 770-24")</f>
        <v/>
      </c>
    </row>
    <row r="342">
      <c r="A342" s="1" t="n">
        <v>0</v>
      </c>
      <c r="B342" t="inlineStr">
        <is>
          <t>서울시 광진구 자양동 803-3</t>
        </is>
      </c>
      <c r="C342" t="inlineStr">
        <is>
          <t>21.12.09.</t>
        </is>
      </c>
      <c r="D342" t="inlineStr">
        <is>
          <t>월세</t>
        </is>
      </c>
      <c r="E342" t="inlineStr">
        <is>
          <t>5,000/100</t>
        </is>
      </c>
      <c r="F342" t="inlineStr">
        <is>
          <t>41/29m², 4/5층, 북동향</t>
        </is>
      </c>
      <c r="G342" t="inlineStr">
        <is>
          <t>엘리트공인중개사사무소</t>
        </is>
      </c>
      <c r="H342">
        <f>HYPERLINK("https://new.land.naver.com/houses?ms=37.5344483,127.0831475,15&amp;a=VL:DDDGG:JWJT:SGJT:HOJT&amp;e=RETAIL&amp;articleNo=2132818560", "서울시 광진구 자양동 803-3")</f>
        <v/>
      </c>
    </row>
    <row r="343">
      <c r="A343" s="1" t="n">
        <v>0</v>
      </c>
      <c r="B343" t="inlineStr">
        <is>
          <t>서울시 광진구 자양동 843-3</t>
        </is>
      </c>
      <c r="C343" t="inlineStr">
        <is>
          <t>21.12.10.</t>
        </is>
      </c>
      <c r="D343" t="inlineStr">
        <is>
          <t>매매</t>
        </is>
      </c>
      <c r="E343" t="inlineStr">
        <is>
          <t>7억</t>
        </is>
      </c>
      <c r="F343" t="inlineStr">
        <is>
          <t>62/62m², 2/5층, 북서향</t>
        </is>
      </c>
      <c r="G343" t="inlineStr">
        <is>
          <t>센트라임공인중개사사무소</t>
        </is>
      </c>
      <c r="H343">
        <f>HYPERLINK("https://new.land.naver.com/houses?ms=37.5344483,127.0831475,15&amp;a=VL:DDDGG:JWJT:SGJT:HOJT&amp;e=RETAIL&amp;articleNo=2132880203", "서울시 광진구 자양동 843-3")</f>
        <v/>
      </c>
    </row>
    <row r="344">
      <c r="A344" s="1" t="n">
        <v>0</v>
      </c>
      <c r="B344" t="inlineStr">
        <is>
          <t>서울시 광진구 자양동 608-21</t>
        </is>
      </c>
      <c r="C344" t="inlineStr">
        <is>
          <t>21.12.10.</t>
        </is>
      </c>
      <c r="D344" t="inlineStr">
        <is>
          <t>전세</t>
        </is>
      </c>
      <c r="E344" t="inlineStr">
        <is>
          <t>2억 2,000</t>
        </is>
      </c>
      <c r="F344" t="inlineStr">
        <is>
          <t>31/23m², 고/8층, 남서향</t>
        </is>
      </c>
      <c r="G344" t="inlineStr">
        <is>
          <t>우리동네부동산공인중개사사무소</t>
        </is>
      </c>
      <c r="H344">
        <f>HYPERLINK("https://new.land.naver.com/houses?ms=37.5344483,127.0831475,15&amp;a=VL:DDDGG:JWJT:SGJT:HOJT&amp;e=RETAIL&amp;articleNo=2132856275", "서울시 광진구 자양동 608-21")</f>
        <v/>
      </c>
    </row>
    <row r="345">
      <c r="A345" s="1" t="n">
        <v>0</v>
      </c>
      <c r="B345" t="inlineStr">
        <is>
          <t>서울시 광진구 자양동 229-67</t>
        </is>
      </c>
      <c r="C345" t="inlineStr">
        <is>
          <t>21.12.10.</t>
        </is>
      </c>
      <c r="D345" t="inlineStr">
        <is>
          <t>월세</t>
        </is>
      </c>
      <c r="E345" t="inlineStr">
        <is>
          <t>1,000/50</t>
        </is>
      </c>
      <c r="F345" t="inlineStr">
        <is>
          <t>38/38m², 2/4층, 남향</t>
        </is>
      </c>
      <c r="G345" t="inlineStr">
        <is>
          <t>엘리트공인중개사사무소</t>
        </is>
      </c>
      <c r="H345">
        <f>HYPERLINK("https://new.land.naver.com/houses?ms=37.5344483,127.0831475,15&amp;a=VL:DDDGG:JWJT:SGJT:HOJT&amp;e=RETAIL&amp;articleNo=2132820192", "서울시 광진구 자양동 229-67")</f>
        <v/>
      </c>
    </row>
    <row r="346">
      <c r="A346" s="1" t="n">
        <v>0</v>
      </c>
      <c r="B346" t="inlineStr">
        <is>
          <t>서울시 광진구 자양동 832-11</t>
        </is>
      </c>
      <c r="C346" t="inlineStr">
        <is>
          <t>21.12.10.</t>
        </is>
      </c>
      <c r="D346" t="inlineStr">
        <is>
          <t>월세</t>
        </is>
      </c>
      <c r="E346" t="inlineStr">
        <is>
          <t>500/40</t>
        </is>
      </c>
      <c r="F346" t="inlineStr">
        <is>
          <t>23/18m², 1/2층, 북서향</t>
        </is>
      </c>
      <c r="G346" t="inlineStr">
        <is>
          <t>윤공인중개사사무소</t>
        </is>
      </c>
      <c r="H346">
        <f>HYPERLINK("https://new.land.naver.com/houses?ms=37.5344483,127.0831475,15&amp;a=VL:DDDGG:JWJT:SGJT:HOJT&amp;e=RETAIL&amp;articleNo=2132814479", "서울시 광진구 자양동 832-11")</f>
        <v/>
      </c>
    </row>
    <row r="347">
      <c r="A347" s="1" t="n">
        <v>0</v>
      </c>
      <c r="B347" t="inlineStr">
        <is>
          <t>서울시 광진구 자양동 625-12</t>
        </is>
      </c>
      <c r="C347" t="inlineStr">
        <is>
          <t>21.12.10.</t>
        </is>
      </c>
      <c r="D347" t="inlineStr">
        <is>
          <t>매매</t>
        </is>
      </c>
      <c r="E347" t="inlineStr">
        <is>
          <t>2억 8,000</t>
        </is>
      </c>
      <c r="F347" t="inlineStr">
        <is>
          <t>53/44m², 4/4층, 남향</t>
        </is>
      </c>
      <c r="G347" t="inlineStr">
        <is>
          <t>우정공인중개사사무소</t>
        </is>
      </c>
      <c r="H347">
        <f>HYPERLINK("https://new.land.naver.com/houses?ms=37.5344483,127.0831475,15&amp;a=VL:DDDGG:JWJT:SGJT:HOJT&amp;e=RETAIL&amp;articleNo=2132810304", "서울시 광진구 자양동 625-12")</f>
        <v/>
      </c>
    </row>
    <row r="348">
      <c r="A348" s="1" t="n">
        <v>0</v>
      </c>
      <c r="B348" t="inlineStr">
        <is>
          <t>서울시 광진구 자양동 595-23</t>
        </is>
      </c>
      <c r="C348" t="inlineStr">
        <is>
          <t>21.12.09.</t>
        </is>
      </c>
      <c r="D348" t="inlineStr">
        <is>
          <t>월세</t>
        </is>
      </c>
      <c r="E348" t="inlineStr">
        <is>
          <t>500/45</t>
        </is>
      </c>
      <c r="F348" t="inlineStr">
        <is>
          <t>37/37m², B1/3층, 동향</t>
        </is>
      </c>
      <c r="G348" t="inlineStr">
        <is>
          <t>부동산신화공인중개사</t>
        </is>
      </c>
      <c r="H348">
        <f>HYPERLINK("https://new.land.naver.com/houses?ms=37.5344483,127.0831475,15&amp;a=VL:DDDGG:JWJT:SGJT:HOJT&amp;e=RETAIL&amp;articleNo=2132788690", "서울시 광진구 자양동 595-23")</f>
        <v/>
      </c>
    </row>
    <row r="349">
      <c r="A349" s="1" t="n">
        <v>0</v>
      </c>
      <c r="B349" t="inlineStr">
        <is>
          <t>서울시 광진구 자양동 217-1</t>
        </is>
      </c>
      <c r="C349" t="inlineStr">
        <is>
          <t>21.12.09.</t>
        </is>
      </c>
      <c r="D349" t="inlineStr">
        <is>
          <t>매매</t>
        </is>
      </c>
      <c r="E349" t="inlineStr">
        <is>
          <t>12억 5,000</t>
        </is>
      </c>
      <c r="F349" t="inlineStr">
        <is>
          <t>90/177m², 4/B1층, 남동향</t>
        </is>
      </c>
      <c r="G349" t="inlineStr">
        <is>
          <t>효성타운공인중개사사무소</t>
        </is>
      </c>
      <c r="H349">
        <f>HYPERLINK("https://new.land.naver.com/houses?ms=37.5344483,127.0831475,15&amp;a=VL:DDDGG:JWJT:SGJT:HOJT&amp;e=RETAIL&amp;articleNo=2132717581", "서울시 광진구 자양동 217-1")</f>
        <v/>
      </c>
    </row>
    <row r="350">
      <c r="A350" s="1" t="n">
        <v>0</v>
      </c>
      <c r="B350" t="inlineStr">
        <is>
          <t>서울시 광진구 자양동 660-24</t>
        </is>
      </c>
      <c r="C350" t="inlineStr">
        <is>
          <t>21.12.09.</t>
        </is>
      </c>
      <c r="D350" t="inlineStr">
        <is>
          <t>전세</t>
        </is>
      </c>
      <c r="E350" t="inlineStr">
        <is>
          <t>3억 2,000</t>
        </is>
      </c>
      <c r="F350" t="inlineStr">
        <is>
          <t>56/43m², 고/4층, 남향</t>
        </is>
      </c>
      <c r="G350" t="inlineStr">
        <is>
          <t>삼성부동산공인중개사사무소</t>
        </is>
      </c>
      <c r="H350">
        <f>HYPERLINK("https://new.land.naver.com/houses?ms=37.5344483,127.0831475,15&amp;a=VL:DDDGG:JWJT:SGJT:HOJT&amp;e=RETAIL&amp;articleNo=2132767709", "서울시 광진구 자양동 660-24")</f>
        <v/>
      </c>
    </row>
    <row r="351">
      <c r="A351" s="1" t="n">
        <v>0</v>
      </c>
      <c r="B351" t="inlineStr">
        <is>
          <t>서울시 광진구 자양동 631-5</t>
        </is>
      </c>
      <c r="C351" t="inlineStr">
        <is>
          <t>21.12.09.</t>
        </is>
      </c>
      <c r="D351" t="inlineStr">
        <is>
          <t>매매</t>
        </is>
      </c>
      <c r="E351" t="inlineStr">
        <is>
          <t>2억 9,500</t>
        </is>
      </c>
      <c r="F351" t="inlineStr">
        <is>
          <t>28/25m², 4/5층, 동향</t>
        </is>
      </c>
      <c r="G351" t="inlineStr">
        <is>
          <t>뉴엘리트공인중개사사무소</t>
        </is>
      </c>
      <c r="H351">
        <f>HYPERLINK("https://new.land.naver.com/houses?ms=37.5344483,127.0831475,15&amp;a=VL:DDDGG:JWJT:SGJT:HOJT&amp;e=RETAIL&amp;articleNo=2132685923", "서울시 광진구 자양동 631-5")</f>
        <v/>
      </c>
    </row>
    <row r="352">
      <c r="A352" s="1" t="n">
        <v>0</v>
      </c>
      <c r="B352" t="inlineStr">
        <is>
          <t>서울시 광진구 자양동 799-9</t>
        </is>
      </c>
      <c r="C352" t="inlineStr">
        <is>
          <t>21.12.06.</t>
        </is>
      </c>
      <c r="D352" t="inlineStr">
        <is>
          <t>월세</t>
        </is>
      </c>
      <c r="E352" t="inlineStr">
        <is>
          <t>1,000/55</t>
        </is>
      </c>
      <c r="F352" t="inlineStr">
        <is>
          <t>21/21m², 3/5층, 남동향</t>
        </is>
      </c>
      <c r="G352" t="inlineStr">
        <is>
          <t>엘리트공인중개사사무소</t>
        </is>
      </c>
      <c r="H352">
        <f>HYPERLINK("https://new.land.naver.com/houses?ms=37.5344483,127.0831475,15&amp;a=VL:DDDGG:JWJT:SGJT:HOJT&amp;e=RETAIL&amp;articleNo=2132386745", "서울시 광진구 자양동 799-9")</f>
        <v/>
      </c>
    </row>
    <row r="353">
      <c r="A353" s="1" t="n">
        <v>0</v>
      </c>
      <c r="B353" t="inlineStr">
        <is>
          <t>서울시 광진구 자양동 52-86</t>
        </is>
      </c>
      <c r="C353" t="inlineStr">
        <is>
          <t>21.12.07.</t>
        </is>
      </c>
      <c r="D353" t="inlineStr">
        <is>
          <t>전세</t>
        </is>
      </c>
      <c r="E353" t="inlineStr">
        <is>
          <t>2억 8,000</t>
        </is>
      </c>
      <c r="F353" t="inlineStr">
        <is>
          <t>37/29m², 5/5층, 남서향</t>
        </is>
      </c>
      <c r="G353" t="inlineStr">
        <is>
          <t>주식회사부동산중개법인수호</t>
        </is>
      </c>
      <c r="H353">
        <f>HYPERLINK("https://new.land.naver.com/houses?ms=37.5344483,127.0831475,15&amp;a=VL:DDDGG:JWJT:SGJT:HOJT&amp;e=RETAIL&amp;articleNo=2132424496", "서울시 광진구 자양동 52-86")</f>
        <v/>
      </c>
    </row>
    <row r="354">
      <c r="A354" s="1" t="n">
        <v>0</v>
      </c>
      <c r="B354" t="inlineStr">
        <is>
          <t>서울시 광진구 자양동 634-4</t>
        </is>
      </c>
      <c r="C354" t="inlineStr">
        <is>
          <t>21.12.08.</t>
        </is>
      </c>
      <c r="D354" t="inlineStr">
        <is>
          <t>매매</t>
        </is>
      </c>
      <c r="E354" t="inlineStr">
        <is>
          <t>3억 3,000</t>
        </is>
      </c>
      <c r="F354" t="inlineStr">
        <is>
          <t>32/27m², 고/5층, 남향</t>
        </is>
      </c>
      <c r="G354" t="inlineStr">
        <is>
          <t>삼화공인중개사사무소</t>
        </is>
      </c>
      <c r="H354">
        <f>HYPERLINK("https://new.land.naver.com/houses?ms=37.5344483,127.0831475,15&amp;a=VL:DDDGG:JWJT:SGJT:HOJT&amp;e=RETAIL&amp;articleNo=2132634277", "서울시 광진구 자양동 634-4")</f>
        <v/>
      </c>
    </row>
    <row r="355">
      <c r="A355" s="1" t="n">
        <v>0</v>
      </c>
      <c r="B355" t="inlineStr">
        <is>
          <t>서울시 광진구 자양동 680-8</t>
        </is>
      </c>
      <c r="C355" t="inlineStr">
        <is>
          <t>21.12.08.</t>
        </is>
      </c>
      <c r="D355" t="inlineStr">
        <is>
          <t>전세</t>
        </is>
      </c>
      <c r="E355" t="inlineStr">
        <is>
          <t>2억 5,000</t>
        </is>
      </c>
      <c r="F355" t="inlineStr">
        <is>
          <t>23/15m², 7/10층, 북서향</t>
        </is>
      </c>
      <c r="G355" t="inlineStr">
        <is>
          <t>조은공인중개사사무소</t>
        </is>
      </c>
      <c r="H355">
        <f>HYPERLINK("https://new.land.naver.com/houses?ms=37.5344483,127.0831475,15&amp;a=VL:DDDGG:JWJT:SGJT:HOJT&amp;e=RETAIL&amp;articleNo=2132616184", "서울시 광진구 자양동 680-8")</f>
        <v/>
      </c>
    </row>
    <row r="356">
      <c r="A356" s="1" t="n">
        <v>0</v>
      </c>
      <c r="B356" t="inlineStr">
        <is>
          <t>서울시 광진구 자양동 601-14</t>
        </is>
      </c>
      <c r="C356" t="inlineStr">
        <is>
          <t>21.12.08.</t>
        </is>
      </c>
      <c r="D356" t="inlineStr">
        <is>
          <t>전세</t>
        </is>
      </c>
      <c r="E356" t="inlineStr">
        <is>
          <t>4억 6,000</t>
        </is>
      </c>
      <c r="F356" t="inlineStr">
        <is>
          <t>58/28m², 5/6층, 서향</t>
        </is>
      </c>
      <c r="G356" t="inlineStr">
        <is>
          <t>서진공인중개사사무소</t>
        </is>
      </c>
      <c r="H356">
        <f>HYPERLINK("https://new.land.naver.com/houses?ms=37.5344483,127.0831475,15&amp;a=VL:DDDGG:JWJT:SGJT:HOJT&amp;e=RETAIL&amp;articleNo=2132612129", "서울시 광진구 자양동 601-14")</f>
        <v/>
      </c>
    </row>
    <row r="357">
      <c r="A357" s="1" t="n">
        <v>0</v>
      </c>
      <c r="B357" t="inlineStr">
        <is>
          <t>서울시 광진구 자양동 206-6</t>
        </is>
      </c>
      <c r="C357" t="inlineStr">
        <is>
          <t>21.12.07.</t>
        </is>
      </c>
      <c r="D357" t="inlineStr">
        <is>
          <t>월세</t>
        </is>
      </c>
      <c r="E357" t="inlineStr">
        <is>
          <t>1,000/75</t>
        </is>
      </c>
      <c r="F357" t="inlineStr">
        <is>
          <t>50/50m², 3/4층, 남서향</t>
        </is>
      </c>
      <c r="G357" t="inlineStr">
        <is>
          <t>행운공인중개사사무소</t>
        </is>
      </c>
      <c r="H357">
        <f>HYPERLINK("https://new.land.naver.com/houses?ms=37.5344483,127.0831475,15&amp;a=VL:DDDGG:JWJT:SGJT:HOJT&amp;e=RETAIL&amp;articleNo=2132544206", "서울시 광진구 자양동 206-6")</f>
        <v/>
      </c>
    </row>
    <row r="358">
      <c r="A358" s="1" t="n">
        <v>0</v>
      </c>
      <c r="B358" t="inlineStr">
        <is>
          <t>서울시 광진구 자양동 665-13</t>
        </is>
      </c>
      <c r="C358" t="inlineStr">
        <is>
          <t>21.12.07.</t>
        </is>
      </c>
      <c r="D358" t="inlineStr">
        <is>
          <t>매매</t>
        </is>
      </c>
      <c r="E358" t="inlineStr">
        <is>
          <t>13억</t>
        </is>
      </c>
      <c r="F358" t="inlineStr">
        <is>
          <t>131/216m², 2/B1층, 남향</t>
        </is>
      </c>
      <c r="G358" t="inlineStr">
        <is>
          <t>대원공인중개사무소</t>
        </is>
      </c>
      <c r="H358">
        <f>HYPERLINK("https://new.land.naver.com/houses?ms=37.5344483,127.0831475,15&amp;a=VL:DDDGG:JWJT:SGJT:HOJT&amp;e=RETAIL&amp;articleNo=2132501376", "서울시 광진구 자양동 665-13")</f>
        <v/>
      </c>
    </row>
    <row r="359">
      <c r="A359" s="1" t="n">
        <v>0</v>
      </c>
      <c r="B359" t="inlineStr">
        <is>
          <t>서울시 광진구 자양동 684-7</t>
        </is>
      </c>
      <c r="C359" t="inlineStr">
        <is>
          <t>21.12.08.</t>
        </is>
      </c>
      <c r="D359" t="inlineStr">
        <is>
          <t>월세</t>
        </is>
      </c>
      <c r="E359" t="inlineStr">
        <is>
          <t>1억 3,000/50</t>
        </is>
      </c>
      <c r="F359" t="inlineStr">
        <is>
          <t>45/40m², 중/4층, 남향</t>
        </is>
      </c>
      <c r="G359" t="inlineStr">
        <is>
          <t>학사부동산</t>
        </is>
      </c>
      <c r="H359">
        <f>HYPERLINK("https://new.land.naver.com/houses?ms=37.5344483,127.0831475,15&amp;a=VL:DDDGG:JWJT:SGJT:HOJT&amp;e=RETAIL&amp;articleNo=2132579083", "서울시 광진구 자양동 684-7")</f>
        <v/>
      </c>
    </row>
    <row r="360">
      <c r="A360" s="1" t="n">
        <v>0</v>
      </c>
      <c r="B360" t="inlineStr">
        <is>
          <t>서울시 광진구 자양동 52-92</t>
        </is>
      </c>
      <c r="C360" t="inlineStr">
        <is>
          <t>21.12.07.</t>
        </is>
      </c>
      <c r="D360" t="inlineStr">
        <is>
          <t>전세</t>
        </is>
      </c>
      <c r="E360" t="inlineStr">
        <is>
          <t>2억</t>
        </is>
      </c>
      <c r="F360" t="inlineStr">
        <is>
          <t>38/38m², 1/5층, 남향</t>
        </is>
      </c>
      <c r="G360" t="inlineStr">
        <is>
          <t>노유공인중개사</t>
        </is>
      </c>
      <c r="H360">
        <f>HYPERLINK("https://new.land.naver.com/houses?ms=37.5344483,127.0831475,15&amp;a=VL:DDDGG:JWJT:SGJT:HOJT&amp;e=RETAIL&amp;articleNo=2132486065", "서울시 광진구 자양동 52-92")</f>
        <v/>
      </c>
    </row>
    <row r="361">
      <c r="A361" s="1" t="n">
        <v>0</v>
      </c>
      <c r="B361" t="inlineStr">
        <is>
          <t>서울시 광진구 자양동 799-6</t>
        </is>
      </c>
      <c r="C361" t="inlineStr">
        <is>
          <t>21.12.07.</t>
        </is>
      </c>
      <c r="D361" t="inlineStr">
        <is>
          <t>매매</t>
        </is>
      </c>
      <c r="E361" t="inlineStr">
        <is>
          <t>20억</t>
        </is>
      </c>
      <c r="F361" t="inlineStr">
        <is>
          <t>156/224m², 2/B1층, 동향</t>
        </is>
      </c>
      <c r="G361" t="inlineStr">
        <is>
          <t>웰츠공인중개사사무소</t>
        </is>
      </c>
      <c r="H361">
        <f>HYPERLINK("https://new.land.naver.com/houses?ms=37.5344483,127.0831475,15&amp;a=VL:DDDGG:JWJT:SGJT:HOJT&amp;e=RETAIL&amp;articleNo=2132454682", "서울시 광진구 자양동 799-6")</f>
        <v/>
      </c>
    </row>
    <row r="362">
      <c r="A362" s="1" t="n">
        <v>0</v>
      </c>
      <c r="B362" t="inlineStr">
        <is>
          <t>서울시 광진구 자양동 598-12</t>
        </is>
      </c>
      <c r="C362" t="inlineStr">
        <is>
          <t>21.12.07.</t>
        </is>
      </c>
      <c r="D362" t="inlineStr">
        <is>
          <t>월세</t>
        </is>
      </c>
      <c r="E362" t="inlineStr">
        <is>
          <t>1억 5,000/40</t>
        </is>
      </c>
      <c r="F362" t="inlineStr">
        <is>
          <t>50/45m², 2/4층, 서향</t>
        </is>
      </c>
      <c r="G362" t="inlineStr">
        <is>
          <t>대성부동산공인중개사사무소</t>
        </is>
      </c>
      <c r="H362">
        <f>HYPERLINK("https://new.land.naver.com/houses?ms=37.5344483,127.0831475,15&amp;a=VL:DDDGG:JWJT:SGJT:HOJT&amp;e=RETAIL&amp;articleNo=2132192147", "서울시 광진구 자양동 598-12")</f>
        <v/>
      </c>
    </row>
    <row r="363">
      <c r="A363" s="1" t="n">
        <v>0</v>
      </c>
      <c r="B363" t="inlineStr">
        <is>
          <t>서울시 광진구 자양동 774-11</t>
        </is>
      </c>
      <c r="C363" t="inlineStr">
        <is>
          <t>21.12.06.</t>
        </is>
      </c>
      <c r="D363" t="inlineStr">
        <is>
          <t>매매</t>
        </is>
      </c>
      <c r="E363" t="inlineStr">
        <is>
          <t>4억 3,000</t>
        </is>
      </c>
      <c r="F363" t="inlineStr">
        <is>
          <t>63/56m², 고/3층, 남서향</t>
        </is>
      </c>
      <c r="G363" t="inlineStr">
        <is>
          <t>와우부동산공인중개사사무소</t>
        </is>
      </c>
      <c r="H363">
        <f>HYPERLINK("https://new.land.naver.com/houses?ms=37.5344483,127.0831475,15&amp;a=VL:DDDGG:JWJT:SGJT:HOJT&amp;e=RETAIL&amp;articleNo=2132245592", "서울시 광진구 자양동 774-11")</f>
        <v/>
      </c>
    </row>
    <row r="364">
      <c r="A364" s="1" t="n">
        <v>0</v>
      </c>
      <c r="B364" t="inlineStr">
        <is>
          <t>서울시 광진구 자양동 583-13</t>
        </is>
      </c>
      <c r="C364" t="inlineStr">
        <is>
          <t>21.12.06.</t>
        </is>
      </c>
      <c r="D364" t="inlineStr">
        <is>
          <t>전세</t>
        </is>
      </c>
      <c r="E364" t="inlineStr">
        <is>
          <t>2억 5,000</t>
        </is>
      </c>
      <c r="F364" t="inlineStr">
        <is>
          <t>55/50m², 2/3층, 남동향</t>
        </is>
      </c>
      <c r="G364" t="inlineStr">
        <is>
          <t>가나공인중개사사무소</t>
        </is>
      </c>
      <c r="H364">
        <f>HYPERLINK("https://new.land.naver.com/houses?ms=37.5344483,127.0831475,15&amp;a=VL:DDDGG:JWJT:SGJT:HOJT&amp;e=RETAIL&amp;articleNo=2132360090", "서울시 광진구 자양동 583-13")</f>
        <v/>
      </c>
    </row>
    <row r="365">
      <c r="A365" s="1" t="n">
        <v>0</v>
      </c>
      <c r="B365" t="inlineStr">
        <is>
          <t>서울시 광진구 자양동 845-4</t>
        </is>
      </c>
      <c r="C365" t="inlineStr">
        <is>
          <t>21.12.06.</t>
        </is>
      </c>
      <c r="D365" t="inlineStr">
        <is>
          <t>월세</t>
        </is>
      </c>
      <c r="E365" t="inlineStr">
        <is>
          <t>2억/20</t>
        </is>
      </c>
      <c r="F365" t="inlineStr">
        <is>
          <t>66/66m², 2/3층, 남서향</t>
        </is>
      </c>
      <c r="G365" t="inlineStr">
        <is>
          <t>새우리공인중개사사무소</t>
        </is>
      </c>
      <c r="H365">
        <f>HYPERLINK("https://new.land.naver.com/houses?ms=37.5344483,127.0831475,15&amp;a=VL:DDDGG:JWJT:SGJT:HOJT&amp;e=RETAIL&amp;articleNo=2132250334", "서울시 광진구 자양동 845-4")</f>
        <v/>
      </c>
    </row>
    <row r="366">
      <c r="A366" s="1" t="n">
        <v>0</v>
      </c>
      <c r="B366" t="inlineStr">
        <is>
          <t>서울시 광진구 자양동 13-2</t>
        </is>
      </c>
      <c r="C366" t="inlineStr">
        <is>
          <t>21.12.06.</t>
        </is>
      </c>
      <c r="D366" t="inlineStr">
        <is>
          <t>전세</t>
        </is>
      </c>
      <c r="E366" t="inlineStr">
        <is>
          <t>1억 6,000</t>
        </is>
      </c>
      <c r="F366" t="inlineStr">
        <is>
          <t>30/30m², 2/3층, 남향</t>
        </is>
      </c>
      <c r="G366" t="inlineStr">
        <is>
          <t>양지공인중개사무소</t>
        </is>
      </c>
      <c r="H366">
        <f>HYPERLINK("https://new.land.naver.com/houses?ms=37.5344483,127.0831475,15&amp;a=VL:DDDGG:JWJT:SGJT:HOJT&amp;e=RETAIL&amp;articleNo=2132332169", "서울시 광진구 자양동 13-2")</f>
        <v/>
      </c>
    </row>
    <row r="367">
      <c r="A367" s="1" t="n">
        <v>0</v>
      </c>
      <c r="B367" t="inlineStr">
        <is>
          <t>서울시 광진구 자양동 553-154</t>
        </is>
      </c>
      <c r="C367" t="inlineStr">
        <is>
          <t>21.12.06.</t>
        </is>
      </c>
      <c r="D367" t="inlineStr">
        <is>
          <t>매매</t>
        </is>
      </c>
      <c r="E367" t="inlineStr">
        <is>
          <t>32억 2,000</t>
        </is>
      </c>
      <c r="F367" t="inlineStr">
        <is>
          <t>152/190m², 2/0층, 북동향</t>
        </is>
      </c>
      <c r="G367" t="inlineStr">
        <is>
          <t>더미소부동산공인중개사사무소</t>
        </is>
      </c>
      <c r="H367">
        <f>HYPERLINK("https://new.land.naver.com/houses?ms=37.5344483,127.0831475,15&amp;a=VL:DDDGG:JWJT:SGJT:HOJT&amp;e=RETAIL&amp;articleNo=2132315832", "서울시 광진구 자양동 553-154")</f>
        <v/>
      </c>
    </row>
    <row r="368">
      <c r="A368" s="1" t="n">
        <v>0</v>
      </c>
      <c r="B368" t="inlineStr">
        <is>
          <t>서울시 광진구 자양동 661-1</t>
        </is>
      </c>
      <c r="C368" t="inlineStr">
        <is>
          <t>22.01.04.</t>
        </is>
      </c>
      <c r="D368" t="inlineStr">
        <is>
          <t>월세</t>
        </is>
      </c>
      <c r="E368" t="inlineStr">
        <is>
          <t>1억/40</t>
        </is>
      </c>
      <c r="F368" t="inlineStr">
        <is>
          <t>52/49m², 3/5층, 서향</t>
        </is>
      </c>
      <c r="G368" t="inlineStr">
        <is>
          <t>LBA제일공인중개사사무소</t>
        </is>
      </c>
      <c r="H368">
        <f>HYPERLINK("https://new.land.naver.com/houses?ms=37.5344483,127.0831475,15&amp;a=VL:DDDGG:JWJT:SGJT:HOJT&amp;e=RETAIL&amp;articleNo=2200360377", "서울시 광진구 자양동 661-1")</f>
        <v/>
      </c>
    </row>
    <row r="369">
      <c r="A369" s="1" t="n">
        <v>0</v>
      </c>
      <c r="B369" t="inlineStr">
        <is>
          <t>서울시 광진구 자양동 593-35</t>
        </is>
      </c>
      <c r="C369" t="inlineStr">
        <is>
          <t>22.01.04.</t>
        </is>
      </c>
      <c r="D369" t="inlineStr">
        <is>
          <t>월세</t>
        </is>
      </c>
      <c r="E369" t="inlineStr">
        <is>
          <t>1,000/20</t>
        </is>
      </c>
      <c r="F369" t="inlineStr">
        <is>
          <t>39/30m², B1/2층, 북향</t>
        </is>
      </c>
      <c r="G369" t="inlineStr">
        <is>
          <t>축복부동산공인중개사사무소</t>
        </is>
      </c>
      <c r="H369">
        <f>HYPERLINK("https://new.land.naver.com/houses?ms=37.5344483,127.0831475,15&amp;a=VL:DDDGG:JWJT:SGJT:HOJT&amp;e=RETAIL&amp;articleNo=2200310124", "서울시 광진구 자양동 593-35")</f>
        <v/>
      </c>
    </row>
    <row r="370">
      <c r="A370" s="1" t="n">
        <v>0</v>
      </c>
      <c r="B370" t="inlineStr">
        <is>
          <t>서울시 광진구 자양동 597-16</t>
        </is>
      </c>
      <c r="C370" t="inlineStr">
        <is>
          <t>22.01.04.</t>
        </is>
      </c>
      <c r="D370" t="inlineStr">
        <is>
          <t>전세</t>
        </is>
      </c>
      <c r="E370" t="inlineStr">
        <is>
          <t>4억 3,000</t>
        </is>
      </c>
      <c r="F370" t="inlineStr">
        <is>
          <t>65/59m², 6/6층, 남향</t>
        </is>
      </c>
      <c r="G370" t="inlineStr">
        <is>
          <t>축복부동산공인중개사사무소</t>
        </is>
      </c>
      <c r="H370">
        <f>HYPERLINK("https://new.land.naver.com/houses?ms=37.5344483,127.0831475,15&amp;a=VL:DDDGG:JWJT:SGJT:HOJT&amp;e=RETAIL&amp;articleNo=2200307833", "서울시 광진구 자양동 597-16")</f>
        <v/>
      </c>
    </row>
    <row r="371">
      <c r="A371" s="1" t="n">
        <v>0</v>
      </c>
      <c r="B371" t="inlineStr">
        <is>
          <t>서울시 광진구 자양동 200-2</t>
        </is>
      </c>
      <c r="C371" t="inlineStr">
        <is>
          <t>22.01.04.</t>
        </is>
      </c>
      <c r="D371" t="inlineStr">
        <is>
          <t>매매</t>
        </is>
      </c>
      <c r="E371" t="inlineStr">
        <is>
          <t>12억</t>
        </is>
      </c>
      <c r="F371" t="inlineStr">
        <is>
          <t>70/68m², 1/2층, 남서향</t>
        </is>
      </c>
      <c r="G371" t="inlineStr">
        <is>
          <t>코리아공인중개사사무소</t>
        </is>
      </c>
      <c r="H371">
        <f>HYPERLINK("https://new.land.naver.com/houses?ms=37.5344483,127.0831475,15&amp;a=VL:DDDGG:JWJT:SGJT:HOJT&amp;e=RETAIL&amp;articleNo=2200296508", "서울시 광진구 자양동 200-2")</f>
        <v/>
      </c>
    </row>
    <row r="372">
      <c r="A372" s="1" t="n">
        <v>0</v>
      </c>
      <c r="B372" t="inlineStr">
        <is>
          <t>서울시 광진구 자양동 469</t>
        </is>
      </c>
      <c r="C372" t="inlineStr">
        <is>
          <t>21.12.30.</t>
        </is>
      </c>
      <c r="D372" t="inlineStr">
        <is>
          <t>월세</t>
        </is>
      </c>
      <c r="E372" t="inlineStr">
        <is>
          <t>500/40</t>
        </is>
      </c>
      <c r="F372" t="inlineStr">
        <is>
          <t>26/26m², 3/3층, 동향</t>
        </is>
      </c>
      <c r="G372" t="inlineStr">
        <is>
          <t>어울림 공인중개사 사무소</t>
        </is>
      </c>
      <c r="H372">
        <f>HYPERLINK("https://new.land.naver.com/houses?ms=37.5344483,127.0831475,15&amp;a=VL:DDDGG:JWJT:SGJT:HOJT&amp;e=RETAIL&amp;articleNo=2134986930", "서울시 광진구 자양동 469")</f>
        <v/>
      </c>
    </row>
    <row r="373">
      <c r="A373" s="1" t="n">
        <v>0</v>
      </c>
      <c r="B373" t="inlineStr">
        <is>
          <t>서울시 광진구 자양동 686-8</t>
        </is>
      </c>
      <c r="C373" t="inlineStr">
        <is>
          <t>22.01.04.</t>
        </is>
      </c>
      <c r="D373" t="inlineStr">
        <is>
          <t>월세</t>
        </is>
      </c>
      <c r="E373" t="inlineStr">
        <is>
          <t>1,000/40</t>
        </is>
      </c>
      <c r="F373" t="inlineStr">
        <is>
          <t>27/20m², 2/2층, 동향</t>
        </is>
      </c>
      <c r="G373" t="inlineStr">
        <is>
          <t>성지공인중개사사무소</t>
        </is>
      </c>
      <c r="H373">
        <f>HYPERLINK("https://new.land.naver.com/houses?ms=37.5344483,127.0831475,15&amp;a=VL:DDDGG:JWJT:SGJT:HOJT&amp;e=RETAIL&amp;articleNo=2200242446", "서울시 광진구 자양동 686-8")</f>
        <v/>
      </c>
    </row>
    <row r="374">
      <c r="A374" s="1" t="n">
        <v>0</v>
      </c>
      <c r="B374" t="inlineStr">
        <is>
          <t>서울시 광진구 자양동 687-11</t>
        </is>
      </c>
      <c r="C374" t="inlineStr">
        <is>
          <t>22.01.04.</t>
        </is>
      </c>
      <c r="D374" t="inlineStr">
        <is>
          <t>전세</t>
        </is>
      </c>
      <c r="E374" t="inlineStr">
        <is>
          <t>1억 1,500</t>
        </is>
      </c>
      <c r="F374" t="inlineStr">
        <is>
          <t>25/19m², 3/5층, 북동향</t>
        </is>
      </c>
      <c r="G374" t="inlineStr">
        <is>
          <t>성지공인중개사사무소</t>
        </is>
      </c>
      <c r="H374">
        <f>HYPERLINK("https://new.land.naver.com/houses?ms=37.5344483,127.0831475,15&amp;a=VL:DDDGG:JWJT:SGJT:HOJT&amp;e=RETAIL&amp;articleNo=2200242413", "서울시 광진구 자양동 687-11")</f>
        <v/>
      </c>
    </row>
    <row r="375">
      <c r="A375" s="1" t="n">
        <v>0</v>
      </c>
      <c r="B375" t="inlineStr">
        <is>
          <t>서울시 광진구 자양동 193-15</t>
        </is>
      </c>
      <c r="C375" t="inlineStr">
        <is>
          <t>22.01.01.</t>
        </is>
      </c>
      <c r="D375" t="inlineStr">
        <is>
          <t>전세</t>
        </is>
      </c>
      <c r="E375" t="inlineStr">
        <is>
          <t>3억 2,000</t>
        </is>
      </c>
      <c r="F375" t="inlineStr">
        <is>
          <t>30/23m², 6/6층, 남서향</t>
        </is>
      </c>
      <c r="G375" t="inlineStr">
        <is>
          <t>달인공인중개사사무소</t>
        </is>
      </c>
      <c r="H375">
        <f>HYPERLINK("https://new.land.naver.com/houses?ms=37.5344483,127.0831475,15&amp;a=VL:DDDGG:JWJT:SGJT:HOJT&amp;e=RETAIL&amp;articleNo=2200004140", "서울시 광진구 자양동 193-15")</f>
        <v/>
      </c>
    </row>
    <row r="376">
      <c r="A376" s="1" t="n">
        <v>0</v>
      </c>
      <c r="B376" t="inlineStr">
        <is>
          <t>서울시 광진구 자양동 193-14</t>
        </is>
      </c>
      <c r="C376" t="inlineStr">
        <is>
          <t>22.01.01.</t>
        </is>
      </c>
      <c r="D376" t="inlineStr">
        <is>
          <t>전세</t>
        </is>
      </c>
      <c r="E376" t="inlineStr">
        <is>
          <t>3억 2,000</t>
        </is>
      </c>
      <c r="F376" t="inlineStr">
        <is>
          <t>32/24m², 5/6층, 남서향</t>
        </is>
      </c>
      <c r="G376" t="inlineStr">
        <is>
          <t>달인공인중개사사무소</t>
        </is>
      </c>
      <c r="H376">
        <f>HYPERLINK("https://new.land.naver.com/houses?ms=37.5344483,127.0831475,15&amp;a=VL:DDDGG:JWJT:SGJT:HOJT&amp;e=RETAIL&amp;articleNo=2200004128", "서울시 광진구 자양동 193-14")</f>
        <v/>
      </c>
    </row>
    <row r="377">
      <c r="A377" s="1" t="n">
        <v>0</v>
      </c>
      <c r="B377" t="inlineStr">
        <is>
          <t>서울시 광진구 자양동 227-213</t>
        </is>
      </c>
      <c r="C377" t="inlineStr">
        <is>
          <t>22.01.03.</t>
        </is>
      </c>
      <c r="D377" t="inlineStr">
        <is>
          <t>전세</t>
        </is>
      </c>
      <c r="E377" t="inlineStr">
        <is>
          <t>3억</t>
        </is>
      </c>
      <c r="F377" t="inlineStr">
        <is>
          <t>46/39m², 4/5층, 남향</t>
        </is>
      </c>
      <c r="G377" t="inlineStr">
        <is>
          <t>좋은소식공인중개사 사무소</t>
        </is>
      </c>
      <c r="H377">
        <f>HYPERLINK("https://new.land.naver.com/houses?ms=37.5344483,127.0831475,15&amp;a=VL:DDDGG:JWJT:SGJT:HOJT&amp;e=RETAIL&amp;articleNo=2200208891", "서울시 광진구 자양동 227-213")</f>
        <v/>
      </c>
    </row>
    <row r="378">
      <c r="A378" s="1" t="n">
        <v>0</v>
      </c>
      <c r="B378" t="inlineStr">
        <is>
          <t>서울시 광진구 자양동 474-9</t>
        </is>
      </c>
      <c r="C378" t="inlineStr">
        <is>
          <t>22.01.03.</t>
        </is>
      </c>
      <c r="D378" t="inlineStr">
        <is>
          <t>월세</t>
        </is>
      </c>
      <c r="E378" t="inlineStr">
        <is>
          <t>500/30</t>
        </is>
      </c>
      <c r="F378" t="inlineStr">
        <is>
          <t>21/21m², 고/5층, 동향</t>
        </is>
      </c>
      <c r="G378" t="inlineStr">
        <is>
          <t>삼성부동산공인중개사사무소</t>
        </is>
      </c>
      <c r="H378">
        <f>HYPERLINK("https://new.land.naver.com/houses?ms=37.5344483,127.0831475,15&amp;a=VL:DDDGG:JWJT:SGJT:HOJT&amp;e=RETAIL&amp;articleNo=2200208372", "서울시 광진구 자양동 474-9")</f>
        <v/>
      </c>
    </row>
    <row r="379">
      <c r="A379" s="1" t="n">
        <v>0</v>
      </c>
      <c r="B379" t="inlineStr">
        <is>
          <t>서울시 광진구 자양동 638-10</t>
        </is>
      </c>
      <c r="C379" t="inlineStr">
        <is>
          <t>22.01.03.</t>
        </is>
      </c>
      <c r="D379" t="inlineStr">
        <is>
          <t>전세</t>
        </is>
      </c>
      <c r="E379" t="inlineStr">
        <is>
          <t>3억 7,000</t>
        </is>
      </c>
      <c r="F379" t="inlineStr">
        <is>
          <t>62/55m², 4/4층, 북서향</t>
        </is>
      </c>
      <c r="G379" t="inlineStr">
        <is>
          <t>보성공인중개사사무소</t>
        </is>
      </c>
      <c r="H379">
        <f>HYPERLINK("https://new.land.naver.com/houses?ms=37.5344483,127.0831475,15&amp;a=VL:DDDGG:JWJT:SGJT:HOJT&amp;e=RETAIL&amp;articleNo=2200207392", "서울시 광진구 자양동 638-10")</f>
        <v/>
      </c>
    </row>
    <row r="380">
      <c r="A380" s="1" t="n">
        <v>0</v>
      </c>
      <c r="B380" t="inlineStr">
        <is>
          <t>서울시 광진구 자양동 661-5</t>
        </is>
      </c>
      <c r="C380" t="inlineStr">
        <is>
          <t>22.01.03.</t>
        </is>
      </c>
      <c r="D380" t="inlineStr">
        <is>
          <t>월세</t>
        </is>
      </c>
      <c r="E380" t="inlineStr">
        <is>
          <t>7,000/20</t>
        </is>
      </c>
      <c r="F380" t="inlineStr">
        <is>
          <t>32/30m², 1/2층, 남동향</t>
        </is>
      </c>
      <c r="G380" t="inlineStr">
        <is>
          <t>중앙공인중개사사무소</t>
        </is>
      </c>
      <c r="H380">
        <f>HYPERLINK("https://new.land.naver.com/houses?ms=37.5344483,127.0831475,15&amp;a=VL:DDDGG:JWJT:SGJT:HOJT&amp;e=RETAIL&amp;articleNo=2200198261", "서울시 광진구 자양동 661-5")</f>
        <v/>
      </c>
    </row>
    <row r="381">
      <c r="A381" s="1" t="n">
        <v>0</v>
      </c>
      <c r="B381" t="inlineStr">
        <is>
          <t>서울시 광진구 자양동 465-6</t>
        </is>
      </c>
      <c r="C381" t="inlineStr">
        <is>
          <t>22.01.03.</t>
        </is>
      </c>
      <c r="D381" t="inlineStr">
        <is>
          <t>매매</t>
        </is>
      </c>
      <c r="E381" t="inlineStr">
        <is>
          <t>19억 5,000</t>
        </is>
      </c>
      <c r="F381" t="inlineStr">
        <is>
          <t>129/134m², 1/B1층, 남향</t>
        </is>
      </c>
      <c r="G381" t="inlineStr">
        <is>
          <t>서울부동산공인중개사사무소</t>
        </is>
      </c>
      <c r="H381">
        <f>HYPERLINK("https://new.land.naver.com/houses?ms=37.5344483,127.0831475,15&amp;a=VL:DDDGG:JWJT:SGJT:HOJT&amp;e=RETAIL&amp;articleNo=2200180923", "서울시 광진구 자양동 465-6")</f>
        <v/>
      </c>
    </row>
    <row r="382">
      <c r="A382" s="1" t="n">
        <v>0</v>
      </c>
      <c r="B382" t="inlineStr">
        <is>
          <t>서울시 광진구 자양동 657-32</t>
        </is>
      </c>
      <c r="C382" t="inlineStr">
        <is>
          <t>22.01.03.</t>
        </is>
      </c>
      <c r="D382" t="inlineStr">
        <is>
          <t>매매</t>
        </is>
      </c>
      <c r="E382" t="inlineStr">
        <is>
          <t>25억</t>
        </is>
      </c>
      <c r="F382" t="inlineStr">
        <is>
          <t>162/462m², 4/B1층, 남서향</t>
        </is>
      </c>
      <c r="G382" t="inlineStr">
        <is>
          <t>국민마트부동산공인중개사사무소</t>
        </is>
      </c>
      <c r="H382">
        <f>HYPERLINK("https://new.land.naver.com/houses?ms=37.5344483,127.0831475,15&amp;a=VL:DDDGG:JWJT:SGJT:HOJT&amp;e=RETAIL&amp;articleNo=2200140113", "서울시 광진구 자양동 657-32")</f>
        <v/>
      </c>
    </row>
    <row r="383">
      <c r="A383" s="1" t="n">
        <v>0</v>
      </c>
      <c r="B383" t="inlineStr">
        <is>
          <t>서울시 광진구 자양동 646-10</t>
        </is>
      </c>
      <c r="C383" t="inlineStr">
        <is>
          <t>22.01.03.</t>
        </is>
      </c>
      <c r="D383" t="inlineStr">
        <is>
          <t>매매</t>
        </is>
      </c>
      <c r="E383" t="inlineStr">
        <is>
          <t>30억</t>
        </is>
      </c>
      <c r="F383" t="inlineStr">
        <is>
          <t>175/494m², 5/B1층, 남향</t>
        </is>
      </c>
      <c r="G383" t="inlineStr">
        <is>
          <t>행운 공인중개사 사무소</t>
        </is>
      </c>
      <c r="H383">
        <f>HYPERLINK("https://new.land.naver.com/houses?ms=37.5344483,127.0831475,15&amp;a=VL:DDDGG:JWJT:SGJT:HOJT&amp;e=RETAIL&amp;articleNo=2200034205", "서울시 광진구 자양동 646-10")</f>
        <v/>
      </c>
    </row>
    <row r="384">
      <c r="A384" s="1" t="n">
        <v>0</v>
      </c>
      <c r="B384" t="inlineStr">
        <is>
          <t>서울시 광진구 자양동 585-21</t>
        </is>
      </c>
      <c r="C384" t="inlineStr">
        <is>
          <t>21.12.31.</t>
        </is>
      </c>
      <c r="D384" t="inlineStr">
        <is>
          <t>월세</t>
        </is>
      </c>
      <c r="E384" t="inlineStr">
        <is>
          <t>300/35</t>
        </is>
      </c>
      <c r="F384" t="inlineStr">
        <is>
          <t>30/30m², 3/3층, 남향</t>
        </is>
      </c>
      <c r="G384" t="inlineStr">
        <is>
          <t>어울림 공인중개사 사무소</t>
        </is>
      </c>
      <c r="H384">
        <f>HYPERLINK("https://new.land.naver.com/houses?ms=37.5344483,127.0831475,15&amp;a=VL:DDDGG:JWJT:SGJT:HOJT&amp;e=RETAIL&amp;articleNo=2135016596", "서울시 광진구 자양동 585-21")</f>
        <v/>
      </c>
    </row>
    <row r="385">
      <c r="A385" s="1" t="n">
        <v>0</v>
      </c>
      <c r="B385" t="inlineStr">
        <is>
          <t>서울시 광진구 자양동 497-7</t>
        </is>
      </c>
      <c r="C385" t="inlineStr">
        <is>
          <t>21.12.31.</t>
        </is>
      </c>
      <c r="D385" t="inlineStr">
        <is>
          <t>전세</t>
        </is>
      </c>
      <c r="E385" t="inlineStr">
        <is>
          <t>6,000</t>
        </is>
      </c>
      <c r="F385" t="inlineStr">
        <is>
          <t>30/30m², 3/3층, 서향</t>
        </is>
      </c>
      <c r="G385" t="inlineStr">
        <is>
          <t>어울림 공인중개사 사무소</t>
        </is>
      </c>
      <c r="H385">
        <f>HYPERLINK("https://new.land.naver.com/houses?ms=37.5344483,127.0831475,15&amp;a=VL:DDDGG:JWJT:SGJT:HOJT&amp;e=RETAIL&amp;articleNo=2135015449", "서울시 광진구 자양동 497-7")</f>
        <v/>
      </c>
    </row>
    <row r="386">
      <c r="A386" s="1" t="n">
        <v>0</v>
      </c>
      <c r="B386" t="inlineStr">
        <is>
          <t>서울시 광진구 자양동 553-528</t>
        </is>
      </c>
      <c r="C386" t="inlineStr">
        <is>
          <t>21.12.30.</t>
        </is>
      </c>
      <c r="D386" t="inlineStr">
        <is>
          <t>전세</t>
        </is>
      </c>
      <c r="E386" t="inlineStr">
        <is>
          <t>6,000</t>
        </is>
      </c>
      <c r="F386" t="inlineStr">
        <is>
          <t>25/22m², 2/3층, 동향</t>
        </is>
      </c>
      <c r="G386" t="inlineStr">
        <is>
          <t>강남공인중개사사무소</t>
        </is>
      </c>
      <c r="H386">
        <f>HYPERLINK("https://new.land.naver.com/houses?ms=37.5344483,127.0831475,15&amp;a=VL:DDDGG:JWJT:SGJT:HOJT&amp;e=RETAIL&amp;articleNo=2134972081", "서울시 광진구 자양동 553-528")</f>
        <v/>
      </c>
    </row>
    <row r="387">
      <c r="A387" s="1" t="n">
        <v>0</v>
      </c>
      <c r="B387" t="inlineStr">
        <is>
          <t>서울시 광진구 자양동 52-3</t>
        </is>
      </c>
      <c r="C387" t="inlineStr">
        <is>
          <t>21.12.29.</t>
        </is>
      </c>
      <c r="D387" t="inlineStr">
        <is>
          <t>매매</t>
        </is>
      </c>
      <c r="E387" t="inlineStr">
        <is>
          <t>49억 7,000</t>
        </is>
      </c>
      <c r="F387" t="inlineStr">
        <is>
          <t>234/500m², 3/B1층, 북서향</t>
        </is>
      </c>
      <c r="G387" t="inlineStr">
        <is>
          <t>한울공인중개사사무소</t>
        </is>
      </c>
      <c r="H387">
        <f>HYPERLINK("https://new.land.naver.com/houses?ms=37.5344483,127.0831475,15&amp;a=VL:DDDGG:JWJT:SGJT:HOJT&amp;e=RETAIL&amp;articleNo=2134854155", "서울시 광진구 자양동 52-3")</f>
        <v/>
      </c>
    </row>
    <row r="388">
      <c r="A388" s="1" t="n">
        <v>0</v>
      </c>
      <c r="B388" t="inlineStr">
        <is>
          <t>서울시 광진구 자양동 58-3</t>
        </is>
      </c>
      <c r="C388" t="inlineStr">
        <is>
          <t>21.12.29.</t>
        </is>
      </c>
      <c r="D388" t="inlineStr">
        <is>
          <t>월세</t>
        </is>
      </c>
      <c r="E388" t="inlineStr">
        <is>
          <t>500/40</t>
        </is>
      </c>
      <c r="F388" t="inlineStr">
        <is>
          <t>33/33m², 4/4층, 북동향</t>
        </is>
      </c>
      <c r="G388" t="inlineStr">
        <is>
          <t>한울공인중개사사무소</t>
        </is>
      </c>
      <c r="H388">
        <f>HYPERLINK("https://new.land.naver.com/houses?ms=37.5344483,127.0831475,15&amp;a=VL:DDDGG:JWJT:SGJT:HOJT&amp;e=RETAIL&amp;articleNo=2134848609", "서울시 광진구 자양동 58-3")</f>
        <v/>
      </c>
    </row>
    <row r="389">
      <c r="A389" s="1" t="n">
        <v>0</v>
      </c>
      <c r="B389" t="inlineStr">
        <is>
          <t>서울시 광진구 자양동 667-24</t>
        </is>
      </c>
      <c r="C389" t="inlineStr">
        <is>
          <t>21.12.29.</t>
        </is>
      </c>
      <c r="D389" t="inlineStr">
        <is>
          <t>매매</t>
        </is>
      </c>
      <c r="E389" t="inlineStr">
        <is>
          <t>28억</t>
        </is>
      </c>
      <c r="F389" t="inlineStr">
        <is>
          <t>302/302m², 1/5층, 북향</t>
        </is>
      </c>
      <c r="G389" t="inlineStr">
        <is>
          <t>태양공인중개사사무소</t>
        </is>
      </c>
      <c r="H389">
        <f>HYPERLINK("https://new.land.naver.com/houses?ms=37.5344483,127.0831475,15&amp;a=VL:DDDGG:JWJT:SGJT:HOJT&amp;e=RETAIL&amp;articleNo=2134768073", "서울시 광진구 자양동 667-24")</f>
        <v/>
      </c>
    </row>
    <row r="390">
      <c r="A390" s="1" t="n">
        <v>0</v>
      </c>
      <c r="B390" t="inlineStr">
        <is>
          <t>서울시 광진구 자양동 773-4</t>
        </is>
      </c>
      <c r="C390" t="inlineStr">
        <is>
          <t>21.12.28.</t>
        </is>
      </c>
      <c r="D390" t="inlineStr">
        <is>
          <t>월세</t>
        </is>
      </c>
      <c r="E390" t="inlineStr">
        <is>
          <t>1,000/43</t>
        </is>
      </c>
      <c r="F390" t="inlineStr">
        <is>
          <t>18/18m², 1/6층, 동향</t>
        </is>
      </c>
      <c r="G390" t="inlineStr">
        <is>
          <t>어울림 공인중개사 사무소</t>
        </is>
      </c>
      <c r="H390">
        <f>HYPERLINK("https://new.land.naver.com/houses?ms=37.5344483,127.0831475,15&amp;a=VL:DDDGG:JWJT:SGJT:HOJT&amp;e=RETAIL&amp;articleNo=2134754114", "서울시 광진구 자양동 773-4")</f>
        <v/>
      </c>
    </row>
    <row r="391">
      <c r="A391" s="1" t="n">
        <v>0</v>
      </c>
      <c r="B391" t="inlineStr">
        <is>
          <t>서울시 광진구 자양동 452-2</t>
        </is>
      </c>
      <c r="C391" t="inlineStr">
        <is>
          <t>21.12.28.</t>
        </is>
      </c>
      <c r="D391" t="inlineStr">
        <is>
          <t>월세</t>
        </is>
      </c>
      <c r="E391" t="inlineStr">
        <is>
          <t>2,000/50</t>
        </is>
      </c>
      <c r="F391" t="inlineStr">
        <is>
          <t>42/39m², 3/4층, 북향</t>
        </is>
      </c>
      <c r="G391" t="inlineStr">
        <is>
          <t>어울림 공인중개사 사무소</t>
        </is>
      </c>
      <c r="H391">
        <f>HYPERLINK("https://new.land.naver.com/houses?ms=37.5344483,127.0831475,15&amp;a=VL:DDDGG:JWJT:SGJT:HOJT&amp;e=RETAIL&amp;articleNo=2134753754", "서울시 광진구 자양동 452-2")</f>
        <v/>
      </c>
    </row>
    <row r="392">
      <c r="A392" s="1" t="n">
        <v>0</v>
      </c>
      <c r="B392" t="inlineStr">
        <is>
          <t>서울시 광진구 자양동 653-41</t>
        </is>
      </c>
      <c r="C392" t="inlineStr">
        <is>
          <t>21.12.27.</t>
        </is>
      </c>
      <c r="D392" t="inlineStr">
        <is>
          <t>전세</t>
        </is>
      </c>
      <c r="E392" t="inlineStr">
        <is>
          <t>2억 5,000</t>
        </is>
      </c>
      <c r="F392" t="inlineStr">
        <is>
          <t>42/39m², 1/2층, 남향</t>
        </is>
      </c>
      <c r="G392" t="inlineStr">
        <is>
          <t>LBA제일공인중개사사무소</t>
        </is>
      </c>
      <c r="H392">
        <f>HYPERLINK("https://new.land.naver.com/houses?ms=37.5344483,127.0831475,15&amp;a=VL:DDDGG:JWJT:SGJT:HOJT&amp;e=RETAIL&amp;articleNo=2134590582", "서울시 광진구 자양동 653-41")</f>
        <v/>
      </c>
    </row>
    <row r="393">
      <c r="A393" s="1" t="n">
        <v>0</v>
      </c>
      <c r="B393" t="inlineStr">
        <is>
          <t>서울시 광진구 자양동 651-45</t>
        </is>
      </c>
      <c r="C393" t="inlineStr">
        <is>
          <t>21.12.25.</t>
        </is>
      </c>
      <c r="D393" t="inlineStr">
        <is>
          <t>월세</t>
        </is>
      </c>
      <c r="E393" t="inlineStr">
        <is>
          <t>300/30</t>
        </is>
      </c>
      <c r="F393" t="inlineStr">
        <is>
          <t>33/26m², 4/4층, 남향</t>
        </is>
      </c>
      <c r="G393" t="inlineStr">
        <is>
          <t>부경공인중개사사무소</t>
        </is>
      </c>
      <c r="H393">
        <f>HYPERLINK("https://new.land.naver.com/houses?ms=37.5344483,127.0831475,15&amp;a=VL:DDDGG:JWJT:SGJT:HOJT&amp;e=RETAIL&amp;articleNo=2134443335", "서울시 광진구 자양동 651-45")</f>
        <v/>
      </c>
    </row>
    <row r="394">
      <c r="A394" s="1" t="n">
        <v>0</v>
      </c>
      <c r="B394" t="inlineStr">
        <is>
          <t>서울시 광진구 자양동 637-30</t>
        </is>
      </c>
      <c r="C394" t="inlineStr">
        <is>
          <t>21.12.24.</t>
        </is>
      </c>
      <c r="D394" t="inlineStr">
        <is>
          <t>월세</t>
        </is>
      </c>
      <c r="E394" t="inlineStr">
        <is>
          <t>1,000/60</t>
        </is>
      </c>
      <c r="F394" t="inlineStr">
        <is>
          <t>48/42m², 3/4층, 동향</t>
        </is>
      </c>
      <c r="G394" t="inlineStr">
        <is>
          <t>어울림 공인중개사 사무소</t>
        </is>
      </c>
      <c r="H394">
        <f>HYPERLINK("https://new.land.naver.com/houses?ms=37.5344483,127.0831475,15&amp;a=VL:DDDGG:JWJT:SGJT:HOJT&amp;e=RETAIL&amp;articleNo=2134339868", "서울시 광진구 자양동 637-30")</f>
        <v/>
      </c>
    </row>
    <row r="395">
      <c r="A395" s="1" t="n">
        <v>0</v>
      </c>
      <c r="B395" t="inlineStr">
        <is>
          <t>서울시 광진구 자양동 48-35</t>
        </is>
      </c>
      <c r="C395" t="inlineStr">
        <is>
          <t>21.12.23.</t>
        </is>
      </c>
      <c r="D395" t="inlineStr">
        <is>
          <t>월세</t>
        </is>
      </c>
      <c r="E395" t="inlineStr">
        <is>
          <t>500/50</t>
        </is>
      </c>
      <c r="F395" t="inlineStr">
        <is>
          <t>26/19m², 2/5층, 동향</t>
        </is>
      </c>
      <c r="G395" t="inlineStr">
        <is>
          <t>부동산월드공인중개사사무소</t>
        </is>
      </c>
      <c r="H395">
        <f>HYPERLINK("https://new.land.naver.com/houses?ms=37.5344483,127.0831475,15&amp;a=VL:DDDGG:JWJT:SGJT:HOJT&amp;e=RETAIL&amp;articleNo=2134301891", "서울시 광진구 자양동 48-35")</f>
        <v/>
      </c>
    </row>
    <row r="396">
      <c r="A396" s="1" t="n">
        <v>0</v>
      </c>
      <c r="B396" t="inlineStr">
        <is>
          <t>서울시 광진구 자양동 11-12</t>
        </is>
      </c>
      <c r="C396" t="inlineStr">
        <is>
          <t>21.12.23.</t>
        </is>
      </c>
      <c r="D396" t="inlineStr">
        <is>
          <t>월세</t>
        </is>
      </c>
      <c r="E396" t="inlineStr">
        <is>
          <t>500/40</t>
        </is>
      </c>
      <c r="F396" t="inlineStr">
        <is>
          <t>18/14m², 2/4층, 동향</t>
        </is>
      </c>
      <c r="G396" t="inlineStr">
        <is>
          <t>성수대우공인중개사사무소</t>
        </is>
      </c>
      <c r="H396">
        <f>HYPERLINK("https://new.land.naver.com/houses?ms=37.5344483,127.0831475,15&amp;a=VL:DDDGG:JWJT:SGJT:HOJT&amp;e=RETAIL&amp;articleNo=2134294424", "서울시 광진구 자양동 11-12")</f>
        <v/>
      </c>
    </row>
    <row r="397">
      <c r="A397" s="1" t="n">
        <v>0</v>
      </c>
      <c r="B397" t="inlineStr">
        <is>
          <t>서울시 광진구 자양동 664-2</t>
        </is>
      </c>
      <c r="C397" t="inlineStr">
        <is>
          <t>21.12.23.</t>
        </is>
      </c>
      <c r="D397" t="inlineStr">
        <is>
          <t>매매</t>
        </is>
      </c>
      <c r="E397" t="inlineStr">
        <is>
          <t>25억</t>
        </is>
      </c>
      <c r="F397" t="inlineStr">
        <is>
          <t>458/458m², 1/4층, 남향</t>
        </is>
      </c>
      <c r="G397" t="inlineStr">
        <is>
          <t>태양공인중개사사무소</t>
        </is>
      </c>
      <c r="H397">
        <f>HYPERLINK("https://new.land.naver.com/houses?ms=37.5344483,127.0831475,15&amp;a=VL:DDDGG:JWJT:SGJT:HOJT&amp;e=RETAIL&amp;articleNo=2134239745", "서울시 광진구 자양동 664-2")</f>
        <v/>
      </c>
    </row>
    <row r="398">
      <c r="A398" s="1" t="n">
        <v>0</v>
      </c>
      <c r="B398" t="inlineStr">
        <is>
          <t>서울시 광진구 자양동 57-156</t>
        </is>
      </c>
      <c r="C398" t="inlineStr">
        <is>
          <t>21.12.23.</t>
        </is>
      </c>
      <c r="D398" t="inlineStr">
        <is>
          <t>월세</t>
        </is>
      </c>
      <c r="E398" t="inlineStr">
        <is>
          <t>2억/100</t>
        </is>
      </c>
      <c r="F398" t="inlineStr">
        <is>
          <t>66/66m², 1/2층, 남향</t>
        </is>
      </c>
      <c r="G398" t="inlineStr">
        <is>
          <t>로얄공인중개사사무소</t>
        </is>
      </c>
      <c r="H398">
        <f>HYPERLINK("https://new.land.naver.com/houses?ms=37.5344483,127.0831475,15&amp;a=VL:DDDGG:JWJT:SGJT:HOJT&amp;e=RETAIL&amp;articleNo=2134230138", "서울시 광진구 자양동 57-156")</f>
        <v/>
      </c>
    </row>
    <row r="399">
      <c r="A399" s="1" t="n">
        <v>0</v>
      </c>
      <c r="B399" t="inlineStr">
        <is>
          <t>서울시 광진구 자양동 497-4</t>
        </is>
      </c>
      <c r="C399" t="inlineStr">
        <is>
          <t>21.12.22.</t>
        </is>
      </c>
      <c r="D399" t="inlineStr">
        <is>
          <t>월세</t>
        </is>
      </c>
      <c r="E399" t="inlineStr">
        <is>
          <t>4,000/29</t>
        </is>
      </c>
      <c r="F399" t="inlineStr">
        <is>
          <t>44/37m², 5/5층, 서향</t>
        </is>
      </c>
      <c r="G399" t="inlineStr">
        <is>
          <t>인정공인중개사사무소</t>
        </is>
      </c>
      <c r="H399">
        <f>HYPERLINK("https://new.land.naver.com/houses?ms=37.5344483,127.0831475,15&amp;a=VL:DDDGG:JWJT:SGJT:HOJT&amp;e=RETAIL&amp;articleNo=2134168614", "서울시 광진구 자양동 497-4")</f>
        <v/>
      </c>
    </row>
    <row r="400">
      <c r="A400" s="1" t="n">
        <v>0</v>
      </c>
      <c r="B400" t="inlineStr">
        <is>
          <t>서울시 광진구 자양동 57-25</t>
        </is>
      </c>
      <c r="C400" t="inlineStr">
        <is>
          <t>21.12.21.</t>
        </is>
      </c>
      <c r="D400" t="inlineStr">
        <is>
          <t>전세</t>
        </is>
      </c>
      <c r="E400" t="inlineStr">
        <is>
          <t>1억 8,000</t>
        </is>
      </c>
      <c r="F400" t="inlineStr">
        <is>
          <t>40/40m², 3/4층, 남동향</t>
        </is>
      </c>
      <c r="G400" t="inlineStr">
        <is>
          <t>코리아공인중개사사무소</t>
        </is>
      </c>
      <c r="H400">
        <f>HYPERLINK("https://new.land.naver.com/houses?ms=37.5344483,127.0831475,15&amp;a=VL:DDDGG:JWJT:SGJT:HOJT&amp;e=RETAIL&amp;articleNo=2134071849", "서울시 광진구 자양동 57-25")</f>
        <v/>
      </c>
    </row>
    <row r="401">
      <c r="A401" s="1" t="n">
        <v>0</v>
      </c>
      <c r="B401" t="inlineStr">
        <is>
          <t>서울시 광진구 자양동 202</t>
        </is>
      </c>
      <c r="C401" t="inlineStr">
        <is>
          <t>21.12.21.</t>
        </is>
      </c>
      <c r="D401" t="inlineStr">
        <is>
          <t>월세</t>
        </is>
      </c>
      <c r="E401" t="inlineStr">
        <is>
          <t>3,000/40</t>
        </is>
      </c>
      <c r="F401" t="inlineStr">
        <is>
          <t>62/60m², 2/2층, 남서향</t>
        </is>
      </c>
      <c r="G401" t="inlineStr">
        <is>
          <t>코리아공인중개사사무소</t>
        </is>
      </c>
      <c r="H401">
        <f>HYPERLINK("https://new.land.naver.com/houses?ms=37.5344483,127.0831475,15&amp;a=VL:DDDGG:JWJT:SGJT:HOJT&amp;e=RETAIL&amp;articleNo=2134071655", "서울시 광진구 자양동 202")</f>
        <v/>
      </c>
    </row>
    <row r="402">
      <c r="A402" s="1" t="n">
        <v>0</v>
      </c>
      <c r="B402" t="inlineStr">
        <is>
          <t>서울시 광진구 자양동 633</t>
        </is>
      </c>
      <c r="C402" t="inlineStr">
        <is>
          <t>21.12.21.</t>
        </is>
      </c>
      <c r="D402" t="inlineStr">
        <is>
          <t>전세</t>
        </is>
      </c>
      <c r="E402" t="inlineStr">
        <is>
          <t>2억</t>
        </is>
      </c>
      <c r="F402" t="inlineStr">
        <is>
          <t>40/40m², 2/3층, 서향</t>
        </is>
      </c>
      <c r="G402" t="inlineStr">
        <is>
          <t>다산공인중개사사무소</t>
        </is>
      </c>
      <c r="H402">
        <f>HYPERLINK("https://new.land.naver.com/houses?ms=37.5344483,127.0831475,15&amp;a=VL:DDDGG:JWJT:SGJT:HOJT&amp;e=RETAIL&amp;articleNo=2134061105", "서울시 광진구 자양동 633")</f>
        <v/>
      </c>
    </row>
    <row r="403">
      <c r="A403" s="1" t="n">
        <v>0</v>
      </c>
      <c r="B403" t="inlineStr">
        <is>
          <t>서울시 광진구 자양동 654</t>
        </is>
      </c>
      <c r="C403" t="inlineStr">
        <is>
          <t>21.12.21.</t>
        </is>
      </c>
      <c r="D403" t="inlineStr">
        <is>
          <t>매매</t>
        </is>
      </c>
      <c r="E403" t="inlineStr">
        <is>
          <t>3억 3,000</t>
        </is>
      </c>
      <c r="F403" t="inlineStr">
        <is>
          <t>50/42m², 2/4층, 동향</t>
        </is>
      </c>
      <c r="G403" t="inlineStr">
        <is>
          <t>다산공인중개사사무소</t>
        </is>
      </c>
      <c r="H403">
        <f>HYPERLINK("https://new.land.naver.com/houses?ms=37.5344483,127.0831475,15&amp;a=VL:DDDGG:JWJT:SGJT:HOJT&amp;e=RETAIL&amp;articleNo=2134060400", "서울시 광진구 자양동 654")</f>
        <v/>
      </c>
    </row>
    <row r="404">
      <c r="A404" s="1" t="n">
        <v>0</v>
      </c>
      <c r="B404" t="inlineStr">
        <is>
          <t>서울시 광진구 자양동 633-22</t>
        </is>
      </c>
      <c r="C404" t="inlineStr">
        <is>
          <t>21.12.21.</t>
        </is>
      </c>
      <c r="D404" t="inlineStr">
        <is>
          <t>전세</t>
        </is>
      </c>
      <c r="E404" t="inlineStr">
        <is>
          <t>1억 3,000</t>
        </is>
      </c>
      <c r="F404" t="inlineStr">
        <is>
          <t>40/40m², B1/3층, 서향</t>
        </is>
      </c>
      <c r="G404" t="inlineStr">
        <is>
          <t>다산공인중개사사무소</t>
        </is>
      </c>
      <c r="H404">
        <f>HYPERLINK("https://new.land.naver.com/houses?ms=37.5344483,127.0831475,15&amp;a=VL:DDDGG:JWJT:SGJT:HOJT&amp;e=RETAIL&amp;articleNo=2134060384", "서울시 광진구 자양동 633-22")</f>
        <v/>
      </c>
    </row>
    <row r="405">
      <c r="A405" s="1" t="n">
        <v>0</v>
      </c>
      <c r="B405" t="inlineStr">
        <is>
          <t>서울시 광진구 자양동 688-9</t>
        </is>
      </c>
      <c r="C405" t="inlineStr">
        <is>
          <t>21.12.20.</t>
        </is>
      </c>
      <c r="D405" t="inlineStr">
        <is>
          <t>월세</t>
        </is>
      </c>
      <c r="E405" t="inlineStr">
        <is>
          <t>2,000/55</t>
        </is>
      </c>
      <c r="F405" t="inlineStr">
        <is>
          <t>55/50m², 3/4층, 동향</t>
        </is>
      </c>
      <c r="G405" t="inlineStr">
        <is>
          <t>성지공인중개사사무소</t>
        </is>
      </c>
      <c r="H405">
        <f>HYPERLINK("https://new.land.naver.com/houses?ms=37.5344483,127.0831475,15&amp;a=VL:DDDGG:JWJT:SGJT:HOJT&amp;e=RETAIL&amp;articleNo=2133934444", "서울시 광진구 자양동 688-9")</f>
        <v/>
      </c>
    </row>
    <row r="406">
      <c r="A406" s="1" t="n">
        <v>0</v>
      </c>
      <c r="B406" t="inlineStr">
        <is>
          <t>서울시 광진구 자양동 679-28</t>
        </is>
      </c>
      <c r="C406" t="inlineStr">
        <is>
          <t>21.12.20.</t>
        </is>
      </c>
      <c r="D406" t="inlineStr">
        <is>
          <t>매매</t>
        </is>
      </c>
      <c r="E406" t="inlineStr">
        <is>
          <t>7억</t>
        </is>
      </c>
      <c r="F406" t="inlineStr">
        <is>
          <t>59/59m², 저/6층, 북향</t>
        </is>
      </c>
      <c r="G406" t="inlineStr">
        <is>
          <t>행운 공인중개사 사무소</t>
        </is>
      </c>
      <c r="H406">
        <f>HYPERLINK("https://new.land.naver.com/houses?ms=37.5344483,127.0831475,15&amp;a=VL:DDDGG:JWJT:SGJT:HOJT&amp;e=RETAIL&amp;articleNo=2133923840", "서울시 광진구 자양동 679-28")</f>
        <v/>
      </c>
    </row>
    <row r="407">
      <c r="A407" s="1" t="n">
        <v>0</v>
      </c>
      <c r="B407" t="inlineStr">
        <is>
          <t>서울시 광진구 자양동 226-1</t>
        </is>
      </c>
      <c r="C407" t="inlineStr">
        <is>
          <t>21.12.20.</t>
        </is>
      </c>
      <c r="D407" t="inlineStr">
        <is>
          <t>전세</t>
        </is>
      </c>
      <c r="E407" t="inlineStr">
        <is>
          <t>4억 5,000</t>
        </is>
      </c>
      <c r="F407" t="inlineStr">
        <is>
          <t>119/119m², 1/4층, 남향</t>
        </is>
      </c>
      <c r="G407" t="inlineStr">
        <is>
          <t>정인공인중개사사무소</t>
        </is>
      </c>
      <c r="H407">
        <f>HYPERLINK("https://new.land.naver.com/houses?ms=37.5344483,127.0831475,15&amp;a=VL:DDDGG:JWJT:SGJT:HOJT&amp;e=RETAIL&amp;articleNo=2133889092", "서울시 광진구 자양동 226-1")</f>
        <v/>
      </c>
    </row>
    <row r="408">
      <c r="A408" s="1" t="n">
        <v>0</v>
      </c>
      <c r="B408" t="inlineStr">
        <is>
          <t>서울시 광진구 자양동 57-127</t>
        </is>
      </c>
      <c r="C408" t="inlineStr">
        <is>
          <t>21.12.18.</t>
        </is>
      </c>
      <c r="D408" t="inlineStr">
        <is>
          <t>월세</t>
        </is>
      </c>
      <c r="E408" t="inlineStr">
        <is>
          <t>1,000/55</t>
        </is>
      </c>
      <c r="F408" t="inlineStr">
        <is>
          <t>27/27m², 2/3층, 남향</t>
        </is>
      </c>
      <c r="G408" t="inlineStr">
        <is>
          <t>하나공인중개사사무소</t>
        </is>
      </c>
      <c r="H408">
        <f>HYPERLINK("https://new.land.naver.com/houses?ms=37.5344483,127.0831475,15&amp;a=VL:DDDGG:JWJT:SGJT:HOJT&amp;e=RETAIL&amp;articleNo=2133777769", "서울시 광진구 자양동 57-127")</f>
        <v/>
      </c>
    </row>
    <row r="409">
      <c r="A409" s="1" t="n">
        <v>0</v>
      </c>
      <c r="B409" t="inlineStr">
        <is>
          <t>서울시 광진구 자양동 593-1</t>
        </is>
      </c>
      <c r="C409" t="inlineStr">
        <is>
          <t>21.12.17.</t>
        </is>
      </c>
      <c r="D409" t="inlineStr">
        <is>
          <t>월세</t>
        </is>
      </c>
      <c r="E409" t="inlineStr">
        <is>
          <t>1억/50</t>
        </is>
      </c>
      <c r="F409" t="inlineStr">
        <is>
          <t>54/44m², 3/4층, 북동향</t>
        </is>
      </c>
      <c r="G409" t="inlineStr">
        <is>
          <t>부동산신화공인중개사사무소</t>
        </is>
      </c>
      <c r="H409">
        <f>HYPERLINK("https://new.land.naver.com/houses?ms=37.5344483,127.0831475,15&amp;a=VL:DDDGG:JWJT:SGJT:HOJT&amp;e=RETAIL&amp;articleNo=2133676357", "서울시 광진구 자양동 593-1")</f>
        <v/>
      </c>
    </row>
    <row r="410">
      <c r="A410" s="1" t="n">
        <v>0</v>
      </c>
      <c r="B410" t="inlineStr">
        <is>
          <t>서울시 광진구 자양동 622-28</t>
        </is>
      </c>
      <c r="C410" t="inlineStr">
        <is>
          <t>21.12.07.</t>
        </is>
      </c>
      <c r="D410" t="inlineStr">
        <is>
          <t>전세</t>
        </is>
      </c>
      <c r="E410" t="inlineStr">
        <is>
          <t>1억 2,000</t>
        </is>
      </c>
      <c r="F410" t="inlineStr">
        <is>
          <t>18/17m², 4/5층, 북향</t>
        </is>
      </c>
      <c r="G410" t="inlineStr">
        <is>
          <t>친구공인중개사사무소</t>
        </is>
      </c>
      <c r="H410">
        <f>HYPERLINK("https://new.land.naver.com/houses?ms=37.5344483,127.0831475,15&amp;a=VL:DDDGG:JWJT:SGJT:HOJT&amp;e=RETAIL&amp;articleNo=2132452937", "서울시 광진구 자양동 622-28")</f>
        <v/>
      </c>
    </row>
    <row r="411">
      <c r="A411" s="1" t="n">
        <v>0</v>
      </c>
      <c r="B411" t="inlineStr">
        <is>
          <t>서울시 광진구 자양동 654-6</t>
        </is>
      </c>
      <c r="C411" t="inlineStr">
        <is>
          <t>21.12.13.</t>
        </is>
      </c>
      <c r="D411" t="inlineStr">
        <is>
          <t>월세</t>
        </is>
      </c>
      <c r="E411" t="inlineStr">
        <is>
          <t>1,500/40</t>
        </is>
      </c>
      <c r="F411" t="inlineStr">
        <is>
          <t>40/40m², B1/3층, 남향</t>
        </is>
      </c>
      <c r="G411" t="inlineStr">
        <is>
          <t>다산공인중개사사무소</t>
        </is>
      </c>
      <c r="H411">
        <f>HYPERLINK("https://new.land.naver.com/houses?ms=37.5344483,127.0831475,15&amp;a=VL:DDDGG:JWJT:SGJT:HOJT&amp;e=RETAIL&amp;articleNo=2133181859", "서울시 광진구 자양동 654-6")</f>
        <v/>
      </c>
    </row>
    <row r="412">
      <c r="A412" s="1" t="n">
        <v>0</v>
      </c>
      <c r="B412" t="inlineStr">
        <is>
          <t>서울시 광진구 자양동 199</t>
        </is>
      </c>
      <c r="C412" t="inlineStr">
        <is>
          <t>21.12.13.</t>
        </is>
      </c>
      <c r="D412" t="inlineStr">
        <is>
          <t>월세</t>
        </is>
      </c>
      <c r="E412" t="inlineStr">
        <is>
          <t>1억 5,000/60</t>
        </is>
      </c>
      <c r="F412" t="inlineStr">
        <is>
          <t>77/60m², 2/2층, 남서향</t>
        </is>
      </c>
      <c r="G412" t="inlineStr">
        <is>
          <t>코리아공인중개사사무소</t>
        </is>
      </c>
      <c r="H412">
        <f>HYPERLINK("https://new.land.naver.com/houses?ms=37.5344483,127.0831475,15&amp;a=VL:DDDGG:JWJT:SGJT:HOJT&amp;e=RETAIL&amp;articleNo=2133137836", "서울시 광진구 자양동 199")</f>
        <v/>
      </c>
    </row>
    <row r="413">
      <c r="A413" s="1" t="n">
        <v>0</v>
      </c>
      <c r="B413" t="inlineStr">
        <is>
          <t>서울시 광진구 자양동 13-54</t>
        </is>
      </c>
      <c r="C413" t="inlineStr">
        <is>
          <t>21.12.13.</t>
        </is>
      </c>
      <c r="D413" t="inlineStr">
        <is>
          <t>매매</t>
        </is>
      </c>
      <c r="E413" t="inlineStr">
        <is>
          <t>6억 5,000</t>
        </is>
      </c>
      <c r="F413" t="inlineStr">
        <is>
          <t>46/59m², 저/3층, 남향</t>
        </is>
      </c>
      <c r="G413" t="inlineStr">
        <is>
          <t>중앙공인중개사사무소</t>
        </is>
      </c>
      <c r="H413">
        <f>HYPERLINK("https://new.land.naver.com/houses?ms=37.5344483,127.0831475,15&amp;a=VL:DDDGG:JWJT:SGJT:HOJT&amp;e=RETAIL&amp;articleNo=2133095401", "서울시 광진구 자양동 13-54")</f>
        <v/>
      </c>
    </row>
    <row r="414">
      <c r="A414" s="1" t="n">
        <v>0</v>
      </c>
      <c r="B414" t="inlineStr">
        <is>
          <t>서울시 광진구 자양동 40-17</t>
        </is>
      </c>
      <c r="C414" t="inlineStr">
        <is>
          <t>21.12.12.</t>
        </is>
      </c>
      <c r="D414" t="inlineStr">
        <is>
          <t>매매</t>
        </is>
      </c>
      <c r="E414" t="inlineStr">
        <is>
          <t>15억</t>
        </is>
      </c>
      <c r="F414" t="inlineStr">
        <is>
          <t>93/142m², 2/B1층, 남동향</t>
        </is>
      </c>
      <c r="G414" t="inlineStr">
        <is>
          <t>미도대치(단지내)공인중개사사무소</t>
        </is>
      </c>
      <c r="H414">
        <f>HYPERLINK("https://new.land.naver.com/houses?ms=37.5344483,127.0831475,15&amp;a=VL:DDDGG:JWJT:SGJT:HOJT&amp;e=RETAIL&amp;articleNo=2133038093", "서울시 광진구 자양동 40-17")</f>
        <v/>
      </c>
    </row>
    <row r="415">
      <c r="A415" s="1" t="n">
        <v>0</v>
      </c>
      <c r="B415" t="inlineStr">
        <is>
          <t>서울시 광진구 자양동 595-16</t>
        </is>
      </c>
      <c r="C415" t="inlineStr">
        <is>
          <t>21.12.09.</t>
        </is>
      </c>
      <c r="D415" t="inlineStr">
        <is>
          <t>월세</t>
        </is>
      </c>
      <c r="E415" t="inlineStr">
        <is>
          <t>500/34</t>
        </is>
      </c>
      <c r="F415" t="inlineStr">
        <is>
          <t>25/21m², B1/3층, 남향</t>
        </is>
      </c>
      <c r="G415" t="inlineStr">
        <is>
          <t>국민부동산공인중개사사무소</t>
        </is>
      </c>
      <c r="H415">
        <f>HYPERLINK("https://new.land.naver.com/houses?ms=37.5344483,127.0831475,15&amp;a=VL:DDDGG:JWJT:SGJT:HOJT&amp;e=RETAIL&amp;articleNo=2132821288", "서울시 광진구 자양동 595-16")</f>
        <v/>
      </c>
    </row>
    <row r="416">
      <c r="A416" s="1" t="n">
        <v>0</v>
      </c>
      <c r="B416" t="inlineStr">
        <is>
          <t>서울시 광진구 자양동 807-4</t>
        </is>
      </c>
      <c r="C416" t="inlineStr">
        <is>
          <t>21.12.09.</t>
        </is>
      </c>
      <c r="D416" t="inlineStr">
        <is>
          <t>월세</t>
        </is>
      </c>
      <c r="E416" t="inlineStr">
        <is>
          <t>2,000/60</t>
        </is>
      </c>
      <c r="F416" t="inlineStr">
        <is>
          <t>40/36m², B1/3층, 서향</t>
        </is>
      </c>
      <c r="G416" t="inlineStr">
        <is>
          <t>국민부동산공인중개사사무소</t>
        </is>
      </c>
      <c r="H416">
        <f>HYPERLINK("https://new.land.naver.com/houses?ms=37.5344483,127.0831475,15&amp;a=VL:DDDGG:JWJT:SGJT:HOJT&amp;e=RETAIL&amp;articleNo=2132821228", "서울시 광진구 자양동 807-4")</f>
        <v/>
      </c>
    </row>
    <row r="417">
      <c r="A417" s="1" t="n">
        <v>0</v>
      </c>
      <c r="B417" t="inlineStr">
        <is>
          <t>서울시 광진구 자양동 595-21</t>
        </is>
      </c>
      <c r="C417" t="inlineStr">
        <is>
          <t>21.12.09.</t>
        </is>
      </c>
      <c r="D417" t="inlineStr">
        <is>
          <t>전세</t>
        </is>
      </c>
      <c r="E417" t="inlineStr">
        <is>
          <t>3억 5,000</t>
        </is>
      </c>
      <c r="F417" t="inlineStr">
        <is>
          <t>40/36m², 5/6층, 남향</t>
        </is>
      </c>
      <c r="G417" t="inlineStr">
        <is>
          <t>국민부동산공인중개사사무소</t>
        </is>
      </c>
      <c r="H417">
        <f>HYPERLINK("https://new.land.naver.com/houses?ms=37.5344483,127.0831475,15&amp;a=VL:DDDGG:JWJT:SGJT:HOJT&amp;e=RETAIL&amp;articleNo=2132821001", "서울시 광진구 자양동 595-21")</f>
        <v/>
      </c>
    </row>
    <row r="418">
      <c r="A418" s="1" t="n">
        <v>0</v>
      </c>
      <c r="B418" t="inlineStr">
        <is>
          <t>서울시 광진구 자양동 638-4</t>
        </is>
      </c>
      <c r="C418" t="inlineStr">
        <is>
          <t>21.12.09.</t>
        </is>
      </c>
      <c r="D418" t="inlineStr">
        <is>
          <t>월세</t>
        </is>
      </c>
      <c r="E418" t="inlineStr">
        <is>
          <t>1,000/45</t>
        </is>
      </c>
      <c r="F418" t="inlineStr">
        <is>
          <t>40/34m², 4/5층, 서향</t>
        </is>
      </c>
      <c r="G418" t="inlineStr">
        <is>
          <t>국민부동산공인중개사사무소</t>
        </is>
      </c>
      <c r="H418">
        <f>HYPERLINK("https://new.land.naver.com/houses?ms=37.5344483,127.0831475,15&amp;a=VL:DDDGG:JWJT:SGJT:HOJT&amp;e=RETAIL&amp;articleNo=2132819646", "서울시 광진구 자양동 638-4")</f>
        <v/>
      </c>
    </row>
    <row r="419">
      <c r="A419" s="1" t="n">
        <v>0</v>
      </c>
      <c r="B419" t="inlineStr">
        <is>
          <t>서울시 광진구 자양동 846-5</t>
        </is>
      </c>
      <c r="C419" t="inlineStr">
        <is>
          <t>21.12.08.</t>
        </is>
      </c>
      <c r="D419" t="inlineStr">
        <is>
          <t>월세</t>
        </is>
      </c>
      <c r="E419" t="inlineStr">
        <is>
          <t>500/40</t>
        </is>
      </c>
      <c r="F419" t="inlineStr">
        <is>
          <t>20/20m², B1/4층, 북동향</t>
        </is>
      </c>
      <c r="G419" t="inlineStr">
        <is>
          <t>중앙공인중개사사무소</t>
        </is>
      </c>
      <c r="H419">
        <f>HYPERLINK("https://new.land.naver.com/houses?ms=37.5344483,127.0831475,15&amp;a=VL:DDDGG:JWJT:SGJT:HOJT&amp;e=RETAIL&amp;articleNo=2132579034", "서울시 광진구 자양동 846-5")</f>
        <v/>
      </c>
    </row>
    <row r="420">
      <c r="A420" s="1" t="n">
        <v>0</v>
      </c>
      <c r="B420" t="inlineStr">
        <is>
          <t>서울시 광진구 자양동 249-50</t>
        </is>
      </c>
      <c r="C420" t="inlineStr">
        <is>
          <t>21.12.08.</t>
        </is>
      </c>
      <c r="D420" t="inlineStr">
        <is>
          <t>월세</t>
        </is>
      </c>
      <c r="E420" t="inlineStr">
        <is>
          <t>1,000/50</t>
        </is>
      </c>
      <c r="F420" t="inlineStr">
        <is>
          <t>20/20m², 중/5층, 동향</t>
        </is>
      </c>
      <c r="G420" t="inlineStr">
        <is>
          <t>중앙공인중개사사무소</t>
        </is>
      </c>
      <c r="H420">
        <f>HYPERLINK("https://new.land.naver.com/houses?ms=37.5344483,127.0831475,15&amp;a=VL:DDDGG:JWJT:SGJT:HOJT&amp;e=RETAIL&amp;articleNo=2132575546", "서울시 광진구 자양동 249-50")</f>
        <v/>
      </c>
    </row>
    <row r="421">
      <c r="A421" s="1" t="n">
        <v>0</v>
      </c>
      <c r="B421" t="inlineStr">
        <is>
          <t>서울시 광진구 자양동 619-2</t>
        </is>
      </c>
      <c r="C421" t="inlineStr">
        <is>
          <t>21.12.07.</t>
        </is>
      </c>
      <c r="D421" t="inlineStr">
        <is>
          <t>월세</t>
        </is>
      </c>
      <c r="E421" t="inlineStr">
        <is>
          <t>2,000/30</t>
        </is>
      </c>
      <c r="F421" t="inlineStr">
        <is>
          <t>36/36m², B1/3층, 남동향</t>
        </is>
      </c>
      <c r="G421" t="inlineStr">
        <is>
          <t>보성공인중개사사무소</t>
        </is>
      </c>
      <c r="H421">
        <f>HYPERLINK("https://new.land.naver.com/houses?ms=37.5344483,127.0831475,15&amp;a=VL:DDDGG:JWJT:SGJT:HOJT&amp;e=RETAIL&amp;articleNo=2132535585", "서울시 광진구 자양동 619-2")</f>
        <v/>
      </c>
    </row>
    <row r="422">
      <c r="A422" s="1" t="n">
        <v>0</v>
      </c>
      <c r="B422" t="inlineStr">
        <is>
          <t>서울시 광진구 자양동 620-22</t>
        </is>
      </c>
      <c r="C422" t="inlineStr">
        <is>
          <t>21.12.07.</t>
        </is>
      </c>
      <c r="D422" t="inlineStr">
        <is>
          <t>월세</t>
        </is>
      </c>
      <c r="E422" t="inlineStr">
        <is>
          <t>1,000/46</t>
        </is>
      </c>
      <c r="F422" t="inlineStr">
        <is>
          <t>36/36m², 1/3층, 동향</t>
        </is>
      </c>
      <c r="G422" t="inlineStr">
        <is>
          <t>보성공인중개사사무소</t>
        </is>
      </c>
      <c r="H422">
        <f>HYPERLINK("https://new.land.naver.com/houses?ms=37.5344483,127.0831475,15&amp;a=VL:DDDGG:JWJT:SGJT:HOJT&amp;e=RETAIL&amp;articleNo=2132531699", "서울시 광진구 자양동 620-22")</f>
        <v/>
      </c>
    </row>
    <row r="423">
      <c r="A423" s="1" t="n">
        <v>0</v>
      </c>
      <c r="B423" t="inlineStr">
        <is>
          <t>서울시 광진구 자양동 16-64</t>
        </is>
      </c>
      <c r="C423" t="inlineStr">
        <is>
          <t>21.12.07.</t>
        </is>
      </c>
      <c r="D423" t="inlineStr">
        <is>
          <t>월세</t>
        </is>
      </c>
      <c r="E423" t="inlineStr">
        <is>
          <t>5,000/150</t>
        </is>
      </c>
      <c r="F423" t="inlineStr">
        <is>
          <t>73/69m², 3/4층, 동향</t>
        </is>
      </c>
      <c r="G423" t="inlineStr">
        <is>
          <t>강남공인중개사사무소</t>
        </is>
      </c>
      <c r="H423">
        <f>HYPERLINK("https://new.land.naver.com/houses?ms=37.5344483,127.0831475,15&amp;a=VL:DDDGG:JWJT:SGJT:HOJT&amp;e=RETAIL&amp;articleNo=2132511821", "서울시 광진구 자양동 16-64")</f>
        <v/>
      </c>
    </row>
    <row r="424">
      <c r="A424" s="1" t="n">
        <v>0</v>
      </c>
      <c r="B424" t="inlineStr">
        <is>
          <t>서울시 광진구 자양동 59-4</t>
        </is>
      </c>
      <c r="C424" t="inlineStr">
        <is>
          <t>21.12.07.</t>
        </is>
      </c>
      <c r="D424" t="inlineStr">
        <is>
          <t>월세</t>
        </is>
      </c>
      <c r="E424" t="inlineStr">
        <is>
          <t>200/25</t>
        </is>
      </c>
      <c r="F424" t="inlineStr">
        <is>
          <t>20/20m², 1/2층, 남서향</t>
        </is>
      </c>
      <c r="G424" t="inlineStr">
        <is>
          <t>길공인중개사사무소</t>
        </is>
      </c>
      <c r="H424">
        <f>HYPERLINK("https://new.land.naver.com/houses?ms=37.5344483,127.0831475,15&amp;a=VL:DDDGG:JWJT:SGJT:HOJT&amp;e=RETAIL&amp;articleNo=2132485192", "서울시 광진구 자양동 59-4")</f>
        <v/>
      </c>
    </row>
    <row r="425">
      <c r="A425" s="1" t="n">
        <v>0</v>
      </c>
      <c r="B425" t="inlineStr">
        <is>
          <t>서울시 광진구 자양동 48-17</t>
        </is>
      </c>
      <c r="C425" t="inlineStr">
        <is>
          <t>21.12.07.</t>
        </is>
      </c>
      <c r="D425" t="inlineStr">
        <is>
          <t>월세</t>
        </is>
      </c>
      <c r="E425" t="inlineStr">
        <is>
          <t>500/35</t>
        </is>
      </c>
      <c r="F425" t="inlineStr">
        <is>
          <t>12/10m², 3/3층, 남향</t>
        </is>
      </c>
      <c r="G425" t="inlineStr">
        <is>
          <t>뉴시티공인중개사사무소</t>
        </is>
      </c>
      <c r="H425">
        <f>HYPERLINK("https://new.land.naver.com/houses?ms=37.5344483,127.0831475,15&amp;a=VL:DDDGG:JWJT:SGJT:HOJT&amp;e=RETAIL&amp;articleNo=2132444584", "서울시 광진구 자양동 48-17")</f>
        <v/>
      </c>
    </row>
    <row r="426">
      <c r="A426" s="1" t="n">
        <v>0</v>
      </c>
      <c r="B426" t="inlineStr">
        <is>
          <t>서울시 광진구 자양동 647-2</t>
        </is>
      </c>
      <c r="C426" t="inlineStr">
        <is>
          <t>21.12.07.</t>
        </is>
      </c>
      <c r="D426" t="inlineStr">
        <is>
          <t>월세</t>
        </is>
      </c>
      <c r="E426" t="inlineStr">
        <is>
          <t>2,000/65</t>
        </is>
      </c>
      <c r="F426" t="inlineStr">
        <is>
          <t>42/42m², 3/4층, 남향</t>
        </is>
      </c>
      <c r="G426" t="inlineStr">
        <is>
          <t>행운 공인중개사 사무소</t>
        </is>
      </c>
      <c r="H426">
        <f>HYPERLINK("https://new.land.naver.com/houses?ms=37.5344483,127.0831475,15&amp;a=VL:DDDGG:JWJT:SGJT:HOJT&amp;e=RETAIL&amp;articleNo=2132434563", "서울시 광진구 자양동 647-2")</f>
        <v/>
      </c>
    </row>
    <row r="427">
      <c r="A427" s="1" t="n">
        <v>0</v>
      </c>
      <c r="B427" t="inlineStr">
        <is>
          <t>서울시 광진구 자양동 597-24</t>
        </is>
      </c>
      <c r="C427" t="inlineStr">
        <is>
          <t>21.12.06.</t>
        </is>
      </c>
      <c r="D427" t="inlineStr">
        <is>
          <t>월세</t>
        </is>
      </c>
      <c r="E427" t="inlineStr">
        <is>
          <t>5,000/30</t>
        </is>
      </c>
      <c r="F427" t="inlineStr">
        <is>
          <t>45/35m², 1/3층, 동향</t>
        </is>
      </c>
      <c r="G427" t="inlineStr">
        <is>
          <t>축복부동산공인중개사사무소</t>
        </is>
      </c>
      <c r="H427">
        <f>HYPERLINK("https://new.land.naver.com/houses?ms=37.5344483,127.0831475,15&amp;a=VL:DDDGG:JWJT:SGJT:HOJT&amp;e=RETAIL&amp;articleNo=2132417675", "서울시 광진구 자양동 597-24")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2022-01-04T19:21:57Z</dcterms:created>
  <dcterms:modified xmlns:dcterms="http://purl.org/dc/terms/" xmlns:xsi="http://www.w3.org/2001/XMLSchema-instance" xsi:type="dcterms:W3CDTF">2022-01-04T19:21:57Z</dcterms:modified>
</cp:coreProperties>
</file>