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yukjun Kwon\Desktop\Drexel\Company\Resume\Technical\Heat Transfer System Modeling &amp; Thermal Energy Analysis\"/>
    </mc:Choice>
  </mc:AlternateContent>
  <xr:revisionPtr revIDLastSave="0" documentId="13_ncr:1_{C03D433E-238A-48C6-A8F6-9316E83BAEF5}" xr6:coauthVersionLast="45" xr6:coauthVersionMax="45" xr10:uidLastSave="{00000000-0000-0000-0000-000000000000}"/>
  <bookViews>
    <workbookView xWindow="-28920" yWindow="-120" windowWidth="29040" windowHeight="16440" firstSheet="1" activeTab="9" xr2:uid="{C2B1F7F7-9556-4CC7-B84D-A4341C638498}"/>
  </bookViews>
  <sheets>
    <sheet name="Sheet1" sheetId="1" state="hidden" r:id="rId1"/>
    <sheet name="h_OUT" sheetId="5" r:id="rId2"/>
    <sheet name="h_IN" sheetId="3" r:id="rId3"/>
    <sheet name="Iteration" sheetId="10" r:id="rId4"/>
    <sheet name="Main_Model" sheetId="6" r:id="rId5"/>
    <sheet name="Main_Plot" sheetId="8" r:id="rId6"/>
    <sheet name="Required_6 (WRONG)" sheetId="12" state="hidden" r:id="rId7"/>
    <sheet name="Required_6_Plot (WRONG)" sheetId="13" state="hidden" r:id="rId8"/>
    <sheet name="Required_6_Model" sheetId="14" r:id="rId9"/>
    <sheet name="Required_6_Plot" sheetId="15" r:id="rId10"/>
    <sheet name="Sheet2" sheetId="11" state="hidden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D7" i="15" l="1"/>
  <c r="AD8" i="15"/>
  <c r="AD9" i="15"/>
  <c r="AD10" i="15"/>
  <c r="AD6" i="15"/>
  <c r="AD3" i="15"/>
  <c r="AD4" i="15"/>
  <c r="AD5" i="15"/>
  <c r="AD11" i="15"/>
  <c r="AD12" i="15"/>
  <c r="AD13" i="15"/>
  <c r="AD2" i="15"/>
  <c r="AC3" i="15"/>
  <c r="AC4" i="15"/>
  <c r="AC5" i="15"/>
  <c r="AC6" i="15"/>
  <c r="AC7" i="15"/>
  <c r="AC8" i="15"/>
  <c r="AC9" i="15"/>
  <c r="AC10" i="15"/>
  <c r="AC11" i="15"/>
  <c r="AC12" i="15"/>
  <c r="AC13" i="15"/>
  <c r="AC2" i="15"/>
  <c r="Z2" i="15"/>
  <c r="AA2" i="15"/>
  <c r="L5" i="14"/>
  <c r="L7" i="14"/>
  <c r="L17" i="14"/>
  <c r="L15" i="14"/>
  <c r="G16" i="14"/>
  <c r="G13" i="14"/>
  <c r="G12" i="14"/>
  <c r="G11" i="14"/>
  <c r="G10" i="14"/>
  <c r="G9" i="14"/>
  <c r="G6" i="14"/>
  <c r="M17" i="15"/>
  <c r="L17" i="15"/>
  <c r="K17" i="15"/>
  <c r="J17" i="15"/>
  <c r="J8" i="15" s="1"/>
  <c r="M16" i="15"/>
  <c r="L16" i="15"/>
  <c r="K16" i="15"/>
  <c r="J16" i="15"/>
  <c r="J12" i="15" s="1"/>
  <c r="M15" i="15"/>
  <c r="L15" i="15"/>
  <c r="K15" i="15"/>
  <c r="J15" i="15"/>
  <c r="Z13" i="15"/>
  <c r="AA13" i="15" s="1"/>
  <c r="M13" i="15"/>
  <c r="I13" i="15"/>
  <c r="G13" i="15"/>
  <c r="L13" i="15" s="1"/>
  <c r="E13" i="15"/>
  <c r="AA12" i="15"/>
  <c r="Z12" i="15"/>
  <c r="N12" i="15"/>
  <c r="L12" i="15"/>
  <c r="H12" i="15"/>
  <c r="G12" i="15"/>
  <c r="K12" i="15" s="1"/>
  <c r="O12" i="15" s="1"/>
  <c r="E12" i="15"/>
  <c r="Z11" i="15"/>
  <c r="AA11" i="15" s="1"/>
  <c r="G11" i="15"/>
  <c r="N11" i="15" s="1"/>
  <c r="E11" i="15"/>
  <c r="AA10" i="15"/>
  <c r="Z10" i="15"/>
  <c r="N10" i="15"/>
  <c r="L10" i="15"/>
  <c r="J10" i="15"/>
  <c r="H10" i="15"/>
  <c r="G10" i="15"/>
  <c r="M10" i="15" s="1"/>
  <c r="E10" i="15"/>
  <c r="Z9" i="15"/>
  <c r="AA9" i="15" s="1"/>
  <c r="M9" i="15"/>
  <c r="I9" i="15"/>
  <c r="G9" i="15"/>
  <c r="L9" i="15" s="1"/>
  <c r="E9" i="15"/>
  <c r="AA8" i="15"/>
  <c r="Z8" i="15"/>
  <c r="N8" i="15"/>
  <c r="L8" i="15"/>
  <c r="H8" i="15"/>
  <c r="G8" i="15"/>
  <c r="K8" i="15" s="1"/>
  <c r="O8" i="15" s="1"/>
  <c r="E8" i="15"/>
  <c r="Z7" i="15"/>
  <c r="AA7" i="15" s="1"/>
  <c r="G7" i="15"/>
  <c r="N7" i="15" s="1"/>
  <c r="E7" i="15"/>
  <c r="AA6" i="15"/>
  <c r="Z6" i="15"/>
  <c r="N6" i="15"/>
  <c r="L6" i="15"/>
  <c r="J6" i="15"/>
  <c r="H6" i="15"/>
  <c r="G6" i="15"/>
  <c r="M6" i="15" s="1"/>
  <c r="E6" i="15"/>
  <c r="Z5" i="15"/>
  <c r="AA5" i="15" s="1"/>
  <c r="M5" i="15"/>
  <c r="I5" i="15"/>
  <c r="G5" i="15"/>
  <c r="L5" i="15" s="1"/>
  <c r="E5" i="15"/>
  <c r="AA4" i="15"/>
  <c r="Z4" i="15"/>
  <c r="N4" i="15"/>
  <c r="L4" i="15"/>
  <c r="J4" i="15"/>
  <c r="H4" i="15"/>
  <c r="G4" i="15"/>
  <c r="K4" i="15" s="1"/>
  <c r="O4" i="15" s="1"/>
  <c r="E4" i="15"/>
  <c r="Z3" i="15"/>
  <c r="AA3" i="15" s="1"/>
  <c r="G3" i="15"/>
  <c r="N3" i="15" s="1"/>
  <c r="E3" i="15"/>
  <c r="N2" i="15"/>
  <c r="L2" i="15"/>
  <c r="J2" i="15"/>
  <c r="H2" i="15"/>
  <c r="G2" i="15"/>
  <c r="M2" i="15" s="1"/>
  <c r="E2" i="15"/>
  <c r="H28" i="14"/>
  <c r="F35" i="14" s="1"/>
  <c r="F42" i="14" s="1"/>
  <c r="A24" i="14"/>
  <c r="A33" i="14" s="1"/>
  <c r="A42" i="14" s="1"/>
  <c r="I17" i="14"/>
  <c r="D16" i="14"/>
  <c r="I15" i="14"/>
  <c r="I13" i="14"/>
  <c r="D13" i="14"/>
  <c r="I12" i="14"/>
  <c r="D12" i="14"/>
  <c r="K11" i="14"/>
  <c r="F24" i="14" s="1"/>
  <c r="F33" i="14" s="1"/>
  <c r="I11" i="14"/>
  <c r="D11" i="14"/>
  <c r="I10" i="14"/>
  <c r="D10" i="14"/>
  <c r="I9" i="14"/>
  <c r="D9" i="14"/>
  <c r="N7" i="14"/>
  <c r="I7" i="14"/>
  <c r="P6" i="14"/>
  <c r="H20" i="14" s="1"/>
  <c r="F31" i="14" s="1"/>
  <c r="F40" i="14" s="1"/>
  <c r="D6" i="14"/>
  <c r="D20" i="14" s="1"/>
  <c r="N5" i="14"/>
  <c r="I5" i="14"/>
  <c r="M17" i="13"/>
  <c r="L17" i="13"/>
  <c r="K17" i="13"/>
  <c r="J17" i="13"/>
  <c r="M16" i="13"/>
  <c r="L16" i="13"/>
  <c r="K16" i="13"/>
  <c r="J16" i="13"/>
  <c r="M15" i="13"/>
  <c r="L15" i="13"/>
  <c r="K15" i="13"/>
  <c r="J15" i="13"/>
  <c r="AA13" i="13"/>
  <c r="Z13" i="13"/>
  <c r="N13" i="13"/>
  <c r="M13" i="13"/>
  <c r="L13" i="13"/>
  <c r="K13" i="13"/>
  <c r="O13" i="13" s="1"/>
  <c r="J13" i="13"/>
  <c r="I13" i="13"/>
  <c r="H13" i="13"/>
  <c r="G13" i="13"/>
  <c r="E13" i="13"/>
  <c r="AA12" i="13"/>
  <c r="Z12" i="13"/>
  <c r="N12" i="13"/>
  <c r="M12" i="13"/>
  <c r="L12" i="13"/>
  <c r="K12" i="13"/>
  <c r="O12" i="13" s="1"/>
  <c r="J12" i="13"/>
  <c r="I12" i="13"/>
  <c r="H12" i="13"/>
  <c r="G12" i="13"/>
  <c r="E12" i="13"/>
  <c r="AA11" i="13"/>
  <c r="Z11" i="13"/>
  <c r="N11" i="13"/>
  <c r="M11" i="13"/>
  <c r="L11" i="13"/>
  <c r="K11" i="13"/>
  <c r="O11" i="13" s="1"/>
  <c r="J11" i="13"/>
  <c r="I11" i="13"/>
  <c r="H11" i="13"/>
  <c r="G11" i="13"/>
  <c r="E11" i="13"/>
  <c r="AA10" i="13"/>
  <c r="Z10" i="13"/>
  <c r="N10" i="13"/>
  <c r="M10" i="13"/>
  <c r="L10" i="13"/>
  <c r="K10" i="13"/>
  <c r="O10" i="13" s="1"/>
  <c r="J10" i="13"/>
  <c r="I10" i="13"/>
  <c r="H10" i="13"/>
  <c r="G10" i="13"/>
  <c r="E10" i="13"/>
  <c r="AA9" i="13"/>
  <c r="Z9" i="13"/>
  <c r="N9" i="13"/>
  <c r="M9" i="13"/>
  <c r="L9" i="13"/>
  <c r="K9" i="13"/>
  <c r="O9" i="13" s="1"/>
  <c r="J9" i="13"/>
  <c r="I9" i="13"/>
  <c r="H9" i="13"/>
  <c r="G9" i="13"/>
  <c r="E9" i="13"/>
  <c r="AA8" i="13"/>
  <c r="Z8" i="13"/>
  <c r="N8" i="13"/>
  <c r="M8" i="13"/>
  <c r="L8" i="13"/>
  <c r="K8" i="13"/>
  <c r="O8" i="13" s="1"/>
  <c r="J8" i="13"/>
  <c r="I8" i="13"/>
  <c r="H8" i="13"/>
  <c r="G8" i="13"/>
  <c r="E8" i="13"/>
  <c r="AA7" i="13"/>
  <c r="Z7" i="13"/>
  <c r="N7" i="13"/>
  <c r="M7" i="13"/>
  <c r="L7" i="13"/>
  <c r="K7" i="13"/>
  <c r="O7" i="13" s="1"/>
  <c r="J7" i="13"/>
  <c r="I7" i="13"/>
  <c r="H7" i="13"/>
  <c r="G7" i="13"/>
  <c r="E7" i="13"/>
  <c r="AA6" i="13"/>
  <c r="Z6" i="13"/>
  <c r="N6" i="13"/>
  <c r="M6" i="13"/>
  <c r="L6" i="13"/>
  <c r="K6" i="13"/>
  <c r="O6" i="13" s="1"/>
  <c r="J6" i="13"/>
  <c r="I6" i="13"/>
  <c r="H6" i="13"/>
  <c r="G6" i="13"/>
  <c r="E6" i="13"/>
  <c r="AA5" i="13"/>
  <c r="Z5" i="13"/>
  <c r="N5" i="13"/>
  <c r="M5" i="13"/>
  <c r="L5" i="13"/>
  <c r="K5" i="13"/>
  <c r="O5" i="13" s="1"/>
  <c r="J5" i="13"/>
  <c r="I5" i="13"/>
  <c r="H5" i="13"/>
  <c r="G5" i="13"/>
  <c r="E5" i="13"/>
  <c r="AA4" i="13"/>
  <c r="Z4" i="13"/>
  <c r="N4" i="13"/>
  <c r="M4" i="13"/>
  <c r="L4" i="13"/>
  <c r="K4" i="13"/>
  <c r="O4" i="13" s="1"/>
  <c r="J4" i="13"/>
  <c r="I4" i="13"/>
  <c r="H4" i="13"/>
  <c r="G4" i="13"/>
  <c r="E4" i="13"/>
  <c r="AA3" i="13"/>
  <c r="Z3" i="13"/>
  <c r="N3" i="13"/>
  <c r="M3" i="13"/>
  <c r="L3" i="13"/>
  <c r="K3" i="13"/>
  <c r="O3" i="13" s="1"/>
  <c r="J3" i="13"/>
  <c r="I3" i="13"/>
  <c r="H3" i="13"/>
  <c r="G3" i="13"/>
  <c r="E3" i="13"/>
  <c r="AA2" i="13"/>
  <c r="Z2" i="13"/>
  <c r="N2" i="13"/>
  <c r="M2" i="13"/>
  <c r="L2" i="13"/>
  <c r="K2" i="13"/>
  <c r="O2" i="13" s="1"/>
  <c r="J2" i="13"/>
  <c r="I2" i="13"/>
  <c r="H2" i="13"/>
  <c r="G2" i="13"/>
  <c r="E2" i="13"/>
  <c r="H28" i="12"/>
  <c r="F35" i="12" s="1"/>
  <c r="F42" i="12" s="1"/>
  <c r="A24" i="12"/>
  <c r="A33" i="12" s="1"/>
  <c r="H17" i="12"/>
  <c r="D16" i="12"/>
  <c r="D28" i="12" s="1"/>
  <c r="H15" i="12"/>
  <c r="H13" i="12"/>
  <c r="D13" i="12"/>
  <c r="H12" i="12"/>
  <c r="D12" i="12"/>
  <c r="J11" i="12"/>
  <c r="F24" i="12" s="1"/>
  <c r="F33" i="12" s="1"/>
  <c r="H11" i="12"/>
  <c r="D11" i="12"/>
  <c r="H10" i="12"/>
  <c r="D10" i="12"/>
  <c r="H9" i="12"/>
  <c r="D9" i="12"/>
  <c r="L7" i="12"/>
  <c r="H7" i="12"/>
  <c r="N6" i="12"/>
  <c r="H20" i="12" s="1"/>
  <c r="F31" i="12" s="1"/>
  <c r="F40" i="12" s="1"/>
  <c r="D6" i="12"/>
  <c r="D20" i="12" s="1"/>
  <c r="L5" i="12"/>
  <c r="H5" i="12"/>
  <c r="AA10" i="8"/>
  <c r="AA9" i="8"/>
  <c r="AA8" i="8"/>
  <c r="AA7" i="8"/>
  <c r="AA6" i="8"/>
  <c r="AA13" i="8"/>
  <c r="AA12" i="8"/>
  <c r="AA11" i="8"/>
  <c r="AA5" i="8"/>
  <c r="AA4" i="8"/>
  <c r="AA3" i="8"/>
  <c r="AA2" i="8"/>
  <c r="Z3" i="8"/>
  <c r="Z4" i="8"/>
  <c r="Z5" i="8"/>
  <c r="Z6" i="8"/>
  <c r="Z7" i="8"/>
  <c r="Z8" i="8"/>
  <c r="Z9" i="8"/>
  <c r="Z10" i="8"/>
  <c r="Z11" i="8"/>
  <c r="Z12" i="8"/>
  <c r="Z13" i="8"/>
  <c r="Z2" i="8"/>
  <c r="Q2" i="5"/>
  <c r="M17" i="8"/>
  <c r="L17" i="8"/>
  <c r="K17" i="8"/>
  <c r="J17" i="8"/>
  <c r="M16" i="8"/>
  <c r="L16" i="8"/>
  <c r="K16" i="8"/>
  <c r="J16" i="8"/>
  <c r="M15" i="8"/>
  <c r="L15" i="8"/>
  <c r="K15" i="8"/>
  <c r="J15" i="8"/>
  <c r="G13" i="8"/>
  <c r="M13" i="8" s="1"/>
  <c r="E13" i="8"/>
  <c r="G12" i="8"/>
  <c r="N12" i="8" s="1"/>
  <c r="E12" i="8"/>
  <c r="G11" i="8"/>
  <c r="E11" i="8"/>
  <c r="M10" i="8"/>
  <c r="I10" i="8"/>
  <c r="G10" i="8"/>
  <c r="J10" i="8" s="1"/>
  <c r="E10" i="8"/>
  <c r="J9" i="8"/>
  <c r="G9" i="8"/>
  <c r="E9" i="8"/>
  <c r="G8" i="8"/>
  <c r="N8" i="8" s="1"/>
  <c r="E8" i="8"/>
  <c r="L7" i="8"/>
  <c r="I7" i="8"/>
  <c r="G7" i="8"/>
  <c r="H7" i="8" s="1"/>
  <c r="E7" i="8"/>
  <c r="G6" i="8"/>
  <c r="L6" i="8" s="1"/>
  <c r="E6" i="8"/>
  <c r="G5" i="8"/>
  <c r="M5" i="8" s="1"/>
  <c r="E5" i="8"/>
  <c r="G4" i="8"/>
  <c r="N4" i="8" s="1"/>
  <c r="E4" i="8"/>
  <c r="G3" i="8"/>
  <c r="E3" i="8"/>
  <c r="M2" i="8"/>
  <c r="G2" i="8"/>
  <c r="J2" i="8" s="1"/>
  <c r="E2" i="8"/>
  <c r="H28" i="6"/>
  <c r="F35" i="6" s="1"/>
  <c r="F42" i="6" s="1"/>
  <c r="A24" i="6"/>
  <c r="A33" i="6" s="1"/>
  <c r="A40" i="6" s="1"/>
  <c r="J11" i="6"/>
  <c r="F24" i="6" s="1"/>
  <c r="F33" i="6" s="1"/>
  <c r="N6" i="6"/>
  <c r="H20" i="6" s="1"/>
  <c r="F31" i="6" s="1"/>
  <c r="F40" i="6" s="1"/>
  <c r="H17" i="6"/>
  <c r="H15" i="6"/>
  <c r="H13" i="6"/>
  <c r="H12" i="6"/>
  <c r="H11" i="6"/>
  <c r="H10" i="6"/>
  <c r="H9" i="6"/>
  <c r="D16" i="6"/>
  <c r="D28" i="6" s="1"/>
  <c r="D13" i="6"/>
  <c r="D12" i="6"/>
  <c r="D11" i="6"/>
  <c r="D10" i="6"/>
  <c r="D9" i="6"/>
  <c r="L7" i="6"/>
  <c r="H7" i="6"/>
  <c r="L5" i="6"/>
  <c r="H5" i="6"/>
  <c r="D6" i="6"/>
  <c r="D20" i="6" s="1"/>
  <c r="P3" i="5"/>
  <c r="P4" i="5"/>
  <c r="P5" i="5"/>
  <c r="P6" i="5"/>
  <c r="P7" i="5"/>
  <c r="P8" i="5"/>
  <c r="P9" i="5"/>
  <c r="P10" i="5"/>
  <c r="P11" i="5"/>
  <c r="P12" i="5"/>
  <c r="P13" i="5"/>
  <c r="P2" i="5"/>
  <c r="O3" i="5"/>
  <c r="O4" i="5"/>
  <c r="O5" i="5"/>
  <c r="O6" i="5"/>
  <c r="O7" i="5"/>
  <c r="O8" i="5"/>
  <c r="O9" i="5"/>
  <c r="O10" i="5"/>
  <c r="O11" i="5"/>
  <c r="O12" i="5"/>
  <c r="O13" i="5"/>
  <c r="O2" i="5"/>
  <c r="N3" i="5"/>
  <c r="N4" i="5"/>
  <c r="N5" i="5"/>
  <c r="N6" i="5"/>
  <c r="N7" i="5"/>
  <c r="N8" i="5"/>
  <c r="N9" i="5"/>
  <c r="N10" i="5"/>
  <c r="N11" i="5"/>
  <c r="N12" i="5"/>
  <c r="N13" i="5"/>
  <c r="N2" i="5"/>
  <c r="L17" i="5"/>
  <c r="K17" i="5"/>
  <c r="J17" i="5"/>
  <c r="I17" i="5"/>
  <c r="L16" i="5"/>
  <c r="K16" i="5"/>
  <c r="J16" i="5"/>
  <c r="I16" i="5"/>
  <c r="L15" i="5"/>
  <c r="K15" i="5"/>
  <c r="J15" i="5"/>
  <c r="I15" i="5"/>
  <c r="M13" i="5"/>
  <c r="I13" i="5"/>
  <c r="F13" i="5"/>
  <c r="L13" i="5" s="1"/>
  <c r="D13" i="5"/>
  <c r="M12" i="5"/>
  <c r="I12" i="5"/>
  <c r="F12" i="5"/>
  <c r="L12" i="5" s="1"/>
  <c r="D12" i="5"/>
  <c r="M11" i="5"/>
  <c r="I11" i="5"/>
  <c r="F11" i="5"/>
  <c r="L11" i="5" s="1"/>
  <c r="D11" i="5"/>
  <c r="M10" i="5"/>
  <c r="I10" i="5"/>
  <c r="F10" i="5"/>
  <c r="L10" i="5" s="1"/>
  <c r="D10" i="5"/>
  <c r="M9" i="5"/>
  <c r="I9" i="5"/>
  <c r="F9" i="5"/>
  <c r="L9" i="5" s="1"/>
  <c r="D9" i="5"/>
  <c r="M8" i="5"/>
  <c r="I8" i="5"/>
  <c r="F8" i="5"/>
  <c r="L8" i="5" s="1"/>
  <c r="D8" i="5"/>
  <c r="M7" i="5"/>
  <c r="I7" i="5"/>
  <c r="F7" i="5"/>
  <c r="L7" i="5" s="1"/>
  <c r="D7" i="5"/>
  <c r="M6" i="5"/>
  <c r="I6" i="5"/>
  <c r="F6" i="5"/>
  <c r="L6" i="5" s="1"/>
  <c r="D6" i="5"/>
  <c r="M5" i="5"/>
  <c r="I5" i="5"/>
  <c r="F5" i="5"/>
  <c r="L5" i="5" s="1"/>
  <c r="D5" i="5"/>
  <c r="M4" i="5"/>
  <c r="I4" i="5"/>
  <c r="F4" i="5"/>
  <c r="L4" i="5" s="1"/>
  <c r="D4" i="5"/>
  <c r="M3" i="5"/>
  <c r="I3" i="5"/>
  <c r="F3" i="5"/>
  <c r="L3" i="5" s="1"/>
  <c r="D3" i="5"/>
  <c r="M2" i="5"/>
  <c r="I2" i="5"/>
  <c r="F2" i="5"/>
  <c r="L2" i="5" s="1"/>
  <c r="D2" i="5"/>
  <c r="L17" i="3"/>
  <c r="L16" i="3"/>
  <c r="L15" i="3"/>
  <c r="K17" i="3"/>
  <c r="K16" i="3"/>
  <c r="K15" i="3"/>
  <c r="J17" i="3"/>
  <c r="J16" i="3"/>
  <c r="J15" i="3"/>
  <c r="I17" i="3"/>
  <c r="I16" i="3"/>
  <c r="I15" i="3"/>
  <c r="C13" i="3"/>
  <c r="C12" i="3"/>
  <c r="C11" i="3"/>
  <c r="C10" i="3"/>
  <c r="C9" i="3"/>
  <c r="C8" i="3"/>
  <c r="C7" i="3"/>
  <c r="C6" i="3"/>
  <c r="C5" i="3"/>
  <c r="C4" i="3"/>
  <c r="C3" i="3"/>
  <c r="C2" i="3"/>
  <c r="F20" i="14" l="1"/>
  <c r="F28" i="14"/>
  <c r="D28" i="14"/>
  <c r="D24" i="14"/>
  <c r="D23" i="14"/>
  <c r="D22" i="14"/>
  <c r="D26" i="14"/>
  <c r="D25" i="14"/>
  <c r="Q12" i="15"/>
  <c r="P12" i="15"/>
  <c r="Q4" i="15"/>
  <c r="R4" i="15" s="1"/>
  <c r="P4" i="15"/>
  <c r="P8" i="15"/>
  <c r="Q8" i="15"/>
  <c r="R8" i="15" s="1"/>
  <c r="R12" i="15"/>
  <c r="K11" i="15"/>
  <c r="O11" i="15" s="1"/>
  <c r="K2" i="15"/>
  <c r="O2" i="15" s="1"/>
  <c r="H3" i="15"/>
  <c r="L3" i="15"/>
  <c r="I4" i="15"/>
  <c r="M4" i="15"/>
  <c r="J5" i="15"/>
  <c r="N5" i="15"/>
  <c r="K6" i="15"/>
  <c r="O6" i="15" s="1"/>
  <c r="H7" i="15"/>
  <c r="L7" i="15"/>
  <c r="I8" i="15"/>
  <c r="M8" i="15"/>
  <c r="J9" i="15"/>
  <c r="N9" i="15"/>
  <c r="K10" i="15"/>
  <c r="O10" i="15" s="1"/>
  <c r="H11" i="15"/>
  <c r="L11" i="15"/>
  <c r="I12" i="15"/>
  <c r="M12" i="15"/>
  <c r="J13" i="15"/>
  <c r="N13" i="15"/>
  <c r="K7" i="15"/>
  <c r="O7" i="15" s="1"/>
  <c r="M3" i="15"/>
  <c r="K5" i="15"/>
  <c r="O5" i="15" s="1"/>
  <c r="I7" i="15"/>
  <c r="M7" i="15"/>
  <c r="K9" i="15"/>
  <c r="O9" i="15" s="1"/>
  <c r="I11" i="15"/>
  <c r="M11" i="15"/>
  <c r="K13" i="15"/>
  <c r="O13" i="15" s="1"/>
  <c r="K3" i="15"/>
  <c r="O3" i="15" s="1"/>
  <c r="I3" i="15"/>
  <c r="I2" i="15"/>
  <c r="J3" i="15"/>
  <c r="H5" i="15"/>
  <c r="I6" i="15"/>
  <c r="J7" i="15"/>
  <c r="H9" i="15"/>
  <c r="I10" i="15"/>
  <c r="J11" i="15"/>
  <c r="H13" i="15"/>
  <c r="D31" i="14"/>
  <c r="A40" i="14"/>
  <c r="Q11" i="13"/>
  <c r="R11" i="13" s="1"/>
  <c r="P11" i="13"/>
  <c r="Q2" i="13"/>
  <c r="R2" i="13" s="1"/>
  <c r="P2" i="13"/>
  <c r="Q6" i="13"/>
  <c r="R6" i="13" s="1"/>
  <c r="P6" i="13"/>
  <c r="Q10" i="13"/>
  <c r="R10" i="13" s="1"/>
  <c r="P10" i="13"/>
  <c r="Q3" i="13"/>
  <c r="R3" i="13" s="1"/>
  <c r="P3" i="13"/>
  <c r="Q7" i="13"/>
  <c r="R7" i="13" s="1"/>
  <c r="P7" i="13"/>
  <c r="P5" i="13"/>
  <c r="Q5" i="13"/>
  <c r="P9" i="13"/>
  <c r="Q9" i="13"/>
  <c r="R9" i="13" s="1"/>
  <c r="P13" i="13"/>
  <c r="Q13" i="13"/>
  <c r="P4" i="13"/>
  <c r="Q4" i="13"/>
  <c r="R4" i="13" s="1"/>
  <c r="R5" i="13"/>
  <c r="Q8" i="13"/>
  <c r="R8" i="13" s="1"/>
  <c r="P8" i="13"/>
  <c r="Q12" i="13"/>
  <c r="R12" i="13" s="1"/>
  <c r="P12" i="13"/>
  <c r="R13" i="13"/>
  <c r="D25" i="12"/>
  <c r="F20" i="12"/>
  <c r="D31" i="12" s="1"/>
  <c r="D23" i="12"/>
  <c r="F28" i="12"/>
  <c r="D35" i="12" s="1"/>
  <c r="D42" i="12" s="1"/>
  <c r="F49" i="12" s="1"/>
  <c r="D24" i="12"/>
  <c r="D22" i="12"/>
  <c r="D26" i="12"/>
  <c r="A40" i="12"/>
  <c r="A42" i="12"/>
  <c r="M9" i="8"/>
  <c r="I2" i="8"/>
  <c r="K3" i="8"/>
  <c r="O3" i="8" s="1"/>
  <c r="K11" i="8"/>
  <c r="O11" i="8" s="1"/>
  <c r="Q11" i="8" s="1"/>
  <c r="N9" i="8"/>
  <c r="N3" i="8"/>
  <c r="N11" i="8"/>
  <c r="H3" i="8"/>
  <c r="J5" i="8"/>
  <c r="I6" i="8"/>
  <c r="H11" i="8"/>
  <c r="J13" i="8"/>
  <c r="L2" i="8"/>
  <c r="N2" i="8"/>
  <c r="I3" i="8"/>
  <c r="N5" i="8"/>
  <c r="J6" i="8"/>
  <c r="K7" i="8"/>
  <c r="O7" i="8" s="1"/>
  <c r="N7" i="8"/>
  <c r="L10" i="8"/>
  <c r="N10" i="8"/>
  <c r="I11" i="8"/>
  <c r="N13" i="8"/>
  <c r="M11" i="8"/>
  <c r="M7" i="8"/>
  <c r="N6" i="8"/>
  <c r="L3" i="8"/>
  <c r="M6" i="8"/>
  <c r="L11" i="8"/>
  <c r="J11" i="8"/>
  <c r="J7" i="8"/>
  <c r="A42" i="6"/>
  <c r="Q3" i="8"/>
  <c r="P3" i="8"/>
  <c r="P11" i="8"/>
  <c r="Q7" i="8"/>
  <c r="R7" i="8" s="1"/>
  <c r="P7" i="8"/>
  <c r="K4" i="8"/>
  <c r="O4" i="8" s="1"/>
  <c r="K8" i="8"/>
  <c r="O8" i="8" s="1"/>
  <c r="M3" i="8"/>
  <c r="H4" i="8"/>
  <c r="L8" i="8"/>
  <c r="K9" i="8"/>
  <c r="O9" i="8" s="1"/>
  <c r="H12" i="8"/>
  <c r="L12" i="8"/>
  <c r="K13" i="8"/>
  <c r="O13" i="8" s="1"/>
  <c r="K2" i="8"/>
  <c r="O2" i="8" s="1"/>
  <c r="J3" i="8"/>
  <c r="I8" i="8"/>
  <c r="M8" i="8"/>
  <c r="H9" i="8"/>
  <c r="L9" i="8"/>
  <c r="K10" i="8"/>
  <c r="O10" i="8" s="1"/>
  <c r="I12" i="8"/>
  <c r="M12" i="8"/>
  <c r="H13" i="8"/>
  <c r="L13" i="8"/>
  <c r="K12" i="8"/>
  <c r="O12" i="8" s="1"/>
  <c r="L4" i="8"/>
  <c r="K5" i="8"/>
  <c r="O5" i="8" s="1"/>
  <c r="H8" i="8"/>
  <c r="I4" i="8"/>
  <c r="M4" i="8"/>
  <c r="H5" i="8"/>
  <c r="L5" i="8"/>
  <c r="K6" i="8"/>
  <c r="O6" i="8" s="1"/>
  <c r="H2" i="8"/>
  <c r="J4" i="8"/>
  <c r="I5" i="8"/>
  <c r="H6" i="8"/>
  <c r="J8" i="8"/>
  <c r="I9" i="8"/>
  <c r="H10" i="8"/>
  <c r="J12" i="8"/>
  <c r="I13" i="8"/>
  <c r="D22" i="6"/>
  <c r="D26" i="6"/>
  <c r="D25" i="6"/>
  <c r="D23" i="6"/>
  <c r="D24" i="6"/>
  <c r="F20" i="6"/>
  <c r="D31" i="6" s="1"/>
  <c r="F28" i="6"/>
  <c r="D35" i="6" s="1"/>
  <c r="D42" i="6" s="1"/>
  <c r="J3" i="5"/>
  <c r="J6" i="5"/>
  <c r="J8" i="5"/>
  <c r="J9" i="5"/>
  <c r="J10" i="5"/>
  <c r="J12" i="5"/>
  <c r="J13" i="5"/>
  <c r="G2" i="5"/>
  <c r="K2" i="5"/>
  <c r="G3" i="5"/>
  <c r="K3" i="5"/>
  <c r="G4" i="5"/>
  <c r="K4" i="5"/>
  <c r="G5" i="5"/>
  <c r="K5" i="5"/>
  <c r="G6" i="5"/>
  <c r="K6" i="5"/>
  <c r="G7" i="5"/>
  <c r="K7" i="5"/>
  <c r="G8" i="5"/>
  <c r="K8" i="5"/>
  <c r="G9" i="5"/>
  <c r="K9" i="5"/>
  <c r="G10" i="5"/>
  <c r="K10" i="5"/>
  <c r="G11" i="5"/>
  <c r="K11" i="5"/>
  <c r="G12" i="5"/>
  <c r="K12" i="5"/>
  <c r="G13" i="5"/>
  <c r="K13" i="5"/>
  <c r="J2" i="5"/>
  <c r="J4" i="5"/>
  <c r="J5" i="5"/>
  <c r="J7" i="5"/>
  <c r="J11" i="5"/>
  <c r="H2" i="5"/>
  <c r="H3" i="5"/>
  <c r="H4" i="5"/>
  <c r="H5" i="5"/>
  <c r="H6" i="5"/>
  <c r="H7" i="5"/>
  <c r="H8" i="5"/>
  <c r="H9" i="5"/>
  <c r="H10" i="5"/>
  <c r="H11" i="5"/>
  <c r="H12" i="5"/>
  <c r="H13" i="5"/>
  <c r="D35" i="14" l="1"/>
  <c r="D42" i="14" s="1"/>
  <c r="D33" i="14"/>
  <c r="D40" i="14" s="1"/>
  <c r="Q3" i="15"/>
  <c r="R3" i="15" s="1"/>
  <c r="P3" i="15"/>
  <c r="P9" i="15"/>
  <c r="Q9" i="15"/>
  <c r="R9" i="15" s="1"/>
  <c r="Q10" i="15"/>
  <c r="R10" i="15" s="1"/>
  <c r="P10" i="15"/>
  <c r="P13" i="15"/>
  <c r="Q13" i="15"/>
  <c r="R13" i="15" s="1"/>
  <c r="Q7" i="15"/>
  <c r="R7" i="15" s="1"/>
  <c r="P7" i="15"/>
  <c r="Q2" i="15"/>
  <c r="R2" i="15" s="1"/>
  <c r="P2" i="15"/>
  <c r="P5" i="15"/>
  <c r="Q5" i="15"/>
  <c r="R5" i="15" s="1"/>
  <c r="Q6" i="15"/>
  <c r="R6" i="15" s="1"/>
  <c r="P6" i="15"/>
  <c r="Q11" i="15"/>
  <c r="R11" i="15" s="1"/>
  <c r="P11" i="15"/>
  <c r="I42" i="14"/>
  <c r="D33" i="12"/>
  <c r="D40" i="12" s="1"/>
  <c r="F48" i="12" s="1"/>
  <c r="I42" i="12"/>
  <c r="F47" i="12" s="1"/>
  <c r="I42" i="6"/>
  <c r="R3" i="8"/>
  <c r="R11" i="8"/>
  <c r="P10" i="8"/>
  <c r="Q10" i="8"/>
  <c r="R10" i="8" s="1"/>
  <c r="Q9" i="8"/>
  <c r="R9" i="8" s="1"/>
  <c r="P9" i="8"/>
  <c r="Q5" i="8"/>
  <c r="R5" i="8" s="1"/>
  <c r="P5" i="8"/>
  <c r="P2" i="8"/>
  <c r="Q2" i="8"/>
  <c r="R2" i="8" s="1"/>
  <c r="Q8" i="8"/>
  <c r="P8" i="8"/>
  <c r="P6" i="8"/>
  <c r="Q6" i="8"/>
  <c r="R6" i="8" s="1"/>
  <c r="Q12" i="8"/>
  <c r="R12" i="8" s="1"/>
  <c r="P12" i="8"/>
  <c r="Q13" i="8"/>
  <c r="R13" i="8" s="1"/>
  <c r="P13" i="8"/>
  <c r="R8" i="8"/>
  <c r="P4" i="8"/>
  <c r="Q4" i="8"/>
  <c r="R4" i="8" s="1"/>
  <c r="D33" i="6"/>
  <c r="D40" i="6" s="1"/>
  <c r="Q12" i="5"/>
  <c r="Q10" i="5"/>
  <c r="Q8" i="5"/>
  <c r="Q13" i="5"/>
  <c r="Q11" i="5"/>
  <c r="Q9" i="5"/>
  <c r="Q7" i="5"/>
  <c r="Q5" i="5"/>
  <c r="Q3" i="5"/>
  <c r="Q6" i="5"/>
  <c r="Q4" i="5"/>
  <c r="E13" i="3"/>
  <c r="E12" i="3"/>
  <c r="E11" i="3"/>
  <c r="E10" i="3"/>
  <c r="E9" i="3"/>
  <c r="E8" i="3"/>
  <c r="E7" i="3"/>
  <c r="E6" i="3"/>
  <c r="E5" i="3"/>
  <c r="E4" i="3"/>
  <c r="E3" i="3"/>
  <c r="E2" i="3"/>
  <c r="E3" i="1"/>
  <c r="E4" i="1"/>
  <c r="E5" i="1"/>
  <c r="E6" i="1"/>
  <c r="E7" i="1"/>
  <c r="E8" i="1"/>
  <c r="E9" i="1"/>
  <c r="E10" i="1"/>
  <c r="E11" i="1"/>
  <c r="E12" i="1"/>
  <c r="E13" i="1"/>
  <c r="E2" i="1"/>
  <c r="D3" i="1"/>
  <c r="D4" i="1"/>
  <c r="D5" i="1"/>
  <c r="D6" i="1"/>
  <c r="D7" i="1"/>
  <c r="D8" i="1"/>
  <c r="D9" i="1"/>
  <c r="D10" i="1"/>
  <c r="D11" i="1"/>
  <c r="D12" i="1"/>
  <c r="D13" i="1"/>
  <c r="D2" i="1"/>
  <c r="C3" i="1"/>
  <c r="C4" i="1"/>
  <c r="C5" i="1"/>
  <c r="C6" i="1"/>
  <c r="C7" i="1"/>
  <c r="C8" i="1"/>
  <c r="C9" i="1"/>
  <c r="C10" i="1"/>
  <c r="C11" i="1"/>
  <c r="C12" i="1"/>
  <c r="C13" i="1"/>
  <c r="C2" i="1"/>
  <c r="I40" i="14" l="1"/>
  <c r="I40" i="12"/>
  <c r="F46" i="12" s="1"/>
  <c r="I40" i="6"/>
  <c r="H2" i="3"/>
  <c r="M2" i="3"/>
  <c r="G2" i="3"/>
  <c r="I2" i="3"/>
  <c r="L2" i="3"/>
  <c r="K2" i="3"/>
  <c r="J2" i="3"/>
  <c r="H6" i="3"/>
  <c r="M6" i="3"/>
  <c r="G6" i="3"/>
  <c r="L6" i="3"/>
  <c r="I6" i="3"/>
  <c r="K6" i="3"/>
  <c r="J6" i="3"/>
  <c r="N6" i="3" s="1"/>
  <c r="G10" i="3"/>
  <c r="M10" i="3"/>
  <c r="H10" i="3"/>
  <c r="K10" i="3"/>
  <c r="I10" i="3"/>
  <c r="L10" i="3"/>
  <c r="J10" i="3"/>
  <c r="L3" i="3"/>
  <c r="G3" i="3"/>
  <c r="M3" i="3"/>
  <c r="H3" i="3"/>
  <c r="K3" i="3"/>
  <c r="J3" i="3"/>
  <c r="I3" i="3"/>
  <c r="M7" i="3"/>
  <c r="H7" i="3"/>
  <c r="G7" i="3"/>
  <c r="K7" i="3"/>
  <c r="J7" i="3"/>
  <c r="L7" i="3"/>
  <c r="I7" i="3"/>
  <c r="M11" i="3"/>
  <c r="G11" i="3"/>
  <c r="H11" i="3"/>
  <c r="L11" i="3"/>
  <c r="K11" i="3"/>
  <c r="J11" i="3"/>
  <c r="I11" i="3"/>
  <c r="M4" i="3"/>
  <c r="G4" i="3"/>
  <c r="H4" i="3"/>
  <c r="L4" i="3"/>
  <c r="K4" i="3"/>
  <c r="J4" i="3"/>
  <c r="N4" i="3" s="1"/>
  <c r="I4" i="3"/>
  <c r="G8" i="3"/>
  <c r="M8" i="3"/>
  <c r="H8" i="3"/>
  <c r="L8" i="3"/>
  <c r="J8" i="3"/>
  <c r="N8" i="3" s="1"/>
  <c r="I8" i="3"/>
  <c r="K8" i="3"/>
  <c r="H12" i="3"/>
  <c r="M12" i="3"/>
  <c r="G12" i="3"/>
  <c r="J12" i="3"/>
  <c r="N12" i="3" s="1"/>
  <c r="L12" i="3"/>
  <c r="K12" i="3"/>
  <c r="I12" i="3"/>
  <c r="L5" i="3"/>
  <c r="H5" i="3"/>
  <c r="G5" i="3"/>
  <c r="M5" i="3"/>
  <c r="J5" i="3"/>
  <c r="I5" i="3"/>
  <c r="K5" i="3"/>
  <c r="M9" i="3"/>
  <c r="J9" i="3"/>
  <c r="G9" i="3"/>
  <c r="H9" i="3"/>
  <c r="I9" i="3"/>
  <c r="K9" i="3"/>
  <c r="L9" i="3"/>
  <c r="M13" i="3"/>
  <c r="H13" i="3"/>
  <c r="G13" i="3"/>
  <c r="L13" i="3"/>
  <c r="J13" i="3"/>
  <c r="I13" i="3"/>
  <c r="K13" i="3"/>
  <c r="N13" i="3" l="1"/>
  <c r="O13" i="3" s="1"/>
  <c r="P13" i="3" s="1"/>
  <c r="N3" i="3"/>
  <c r="N5" i="3"/>
  <c r="O5" i="3" s="1"/>
  <c r="P5" i="3" s="1"/>
  <c r="N11" i="3"/>
  <c r="N10" i="3"/>
  <c r="N2" i="3"/>
  <c r="O2" i="3" s="1"/>
  <c r="P2" i="3" s="1"/>
  <c r="N9" i="3"/>
  <c r="O9" i="3" s="1"/>
  <c r="P9" i="3" s="1"/>
  <c r="N7" i="3"/>
  <c r="O7" i="3" s="1"/>
  <c r="P7" i="3" s="1"/>
  <c r="O6" i="3"/>
  <c r="P6" i="3" s="1"/>
  <c r="O10" i="3"/>
  <c r="P10" i="3" s="1"/>
  <c r="O12" i="3"/>
  <c r="P12" i="3" s="1"/>
  <c r="O8" i="3"/>
  <c r="P8" i="3" s="1"/>
  <c r="O3" i="3"/>
  <c r="P3" i="3" s="1"/>
  <c r="O4" i="3"/>
  <c r="P4" i="3" s="1"/>
  <c r="O11" i="3"/>
  <c r="P11" i="3" s="1"/>
</calcChain>
</file>

<file path=xl/sharedStrings.xml><?xml version="1.0" encoding="utf-8"?>
<sst xmlns="http://schemas.openxmlformats.org/spreadsheetml/2006/main" count="440" uniqueCount="64">
  <si>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</si>
  <si>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</si>
  <si>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</si>
  <si>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</si>
  <si>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</si>
  <si>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</si>
  <si>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</si>
  <si>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</si>
  <si>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</si>
  <si>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</si>
  <si>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</si>
  <si>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</si>
  <si>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K</t>
  </si>
  <si>
    <t>Air Temp (F)</t>
  </si>
  <si>
    <t>Home Temp (K)</t>
  </si>
  <si>
    <t>Difference</t>
  </si>
  <si>
    <t>COLD</t>
  </si>
  <si>
    <t>HOT</t>
  </si>
  <si>
    <t>Air Temp (K)</t>
  </si>
  <si>
    <t>Density (kg/m3)</t>
  </si>
  <si>
    <t>Prandlts Number</t>
  </si>
  <si>
    <t>Cp (KJ/kgK)</t>
  </si>
  <si>
    <t>Dynamic Visocity (Ns/m2)</t>
  </si>
  <si>
    <t>Kinematic Viscosity (m2/s)</t>
  </si>
  <si>
    <t>Thermal Conductivity (W/mK)</t>
  </si>
  <si>
    <t>Thermal Diffusivity (m2/s)</t>
  </si>
  <si>
    <t>Rayleigh Number</t>
  </si>
  <si>
    <t>Nusselt Number</t>
  </si>
  <si>
    <t>h_IN</t>
  </si>
  <si>
    <t>Home Temp (F)</t>
  </si>
  <si>
    <t>Heat Transfer Coefficient Inside (W/m2K)</t>
  </si>
  <si>
    <t>Table A4 Data</t>
  </si>
  <si>
    <t>Wind Speed (m/s)</t>
  </si>
  <si>
    <t>Reynolds Number</t>
  </si>
  <si>
    <t>Heat Transfer Coefficient Outside (W/m2K)</t>
  </si>
  <si>
    <t>h_OUT</t>
  </si>
  <si>
    <t>T_air</t>
  </si>
  <si>
    <t>W</t>
  </si>
  <si>
    <t>q</t>
  </si>
  <si>
    <t>R</t>
  </si>
  <si>
    <t>T_inf</t>
  </si>
  <si>
    <t>T_surf</t>
  </si>
  <si>
    <t>Surface Temp (K)</t>
  </si>
  <si>
    <t>W/m2K</t>
  </si>
  <si>
    <t>Month</t>
  </si>
  <si>
    <t>Condition</t>
  </si>
  <si>
    <r>
      <t xml:space="preserve">qR = </t>
    </r>
    <r>
      <rPr>
        <sz val="11"/>
        <color theme="1"/>
        <rFont val="Franklin Gothic Heavy"/>
        <family val="2"/>
      </rPr>
      <t>∆</t>
    </r>
    <r>
      <rPr>
        <sz val="11"/>
        <color theme="1"/>
        <rFont val="Calibri"/>
        <family val="2"/>
      </rPr>
      <t>T</t>
    </r>
  </si>
  <si>
    <t>q_Home</t>
  </si>
  <si>
    <t>q_Soil</t>
  </si>
  <si>
    <t>R_Home</t>
  </si>
  <si>
    <t>R_Soil</t>
  </si>
  <si>
    <t>R_Home (K/W)</t>
  </si>
  <si>
    <t>R_Soil (K/W)</t>
  </si>
  <si>
    <t>q_Home (W)</t>
  </si>
  <si>
    <t>q_Soil (W)</t>
  </si>
  <si>
    <t>q_5Human,2Cat (W)</t>
  </si>
  <si>
    <t>q_Required (W)</t>
  </si>
  <si>
    <t>Soil Temp (K)</t>
  </si>
  <si>
    <t>h_OUT (W/m2K)</t>
  </si>
  <si>
    <t>h_IN (W/m2K)</t>
  </si>
  <si>
    <t>q_Added_Fiber (W)</t>
  </si>
  <si>
    <t>q_None_Fiber (W)</t>
  </si>
  <si>
    <t>Difference (W)</t>
  </si>
  <si>
    <t>%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</si>
</sst>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0"/>
    <numFmt numFmtId="165" formatCode="0.0000"/>
    <numFmt numFmtId="166" formatCode="0.000"/>
    <numFmt numFmtId="167" formatCode="0.0000000"/>
    <numFmt numFmtId="168" formatCode="0.000000E+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Franklin Gothic Heavy"/>
      <family val="2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6" fontId="0" fillId="0" borderId="0" xfId="0" applyNumberFormat="1" applyBorder="1" applyAlignment="1">
      <alignment horizontal="center" vertical="center"/>
    </xf>
    <xf numFmtId="167" fontId="0" fillId="0" borderId="0" xfId="0" applyNumberFormat="1" applyBorder="1" applyAlignment="1">
      <alignment horizontal="center" vertical="center"/>
    </xf>
    <xf numFmtId="164" fontId="0" fillId="2" borderId="2" xfId="0" applyNumberForma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66" fontId="0" fillId="0" borderId="9" xfId="0" applyNumberFormat="1" applyBorder="1" applyAlignment="1">
      <alignment horizontal="center" vertical="center"/>
    </xf>
    <xf numFmtId="167" fontId="0" fillId="0" borderId="9" xfId="0" applyNumberFormat="1" applyBorder="1" applyAlignment="1">
      <alignment horizontal="center" vertical="center"/>
    </xf>
    <xf numFmtId="164" fontId="0" fillId="2" borderId="4" xfId="0" applyNumberForma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2" fillId="0" borderId="11" xfId="0" applyFont="1" applyBorder="1" applyAlignment="1">
      <alignment horizontal="center" vertical="center" wrapText="1"/>
    </xf>
    <xf numFmtId="165" fontId="0" fillId="0" borderId="0" xfId="0" applyNumberFormat="1" applyBorder="1" applyAlignment="1">
      <alignment horizontal="center" vertical="center"/>
    </xf>
    <xf numFmtId="165" fontId="2" fillId="0" borderId="0" xfId="0" applyNumberFormat="1" applyFont="1" applyBorder="1" applyAlignment="1">
      <alignment horizontal="center" vertical="center"/>
    </xf>
    <xf numFmtId="165" fontId="0" fillId="0" borderId="9" xfId="0" applyNumberFormat="1" applyBorder="1" applyAlignment="1">
      <alignment horizontal="center" vertical="center"/>
    </xf>
    <xf numFmtId="165" fontId="2" fillId="0" borderId="9" xfId="0" applyNumberFormat="1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2" xfId="0" applyBorder="1" applyAlignment="1">
      <alignment horizontal="left" vertical="center"/>
    </xf>
    <xf numFmtId="164" fontId="0" fillId="0" borderId="0" xfId="0" applyNumberFormat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168" fontId="0" fillId="0" borderId="0" xfId="0" applyNumberFormat="1" applyBorder="1" applyAlignment="1">
      <alignment horizontal="center" vertical="center"/>
    </xf>
    <xf numFmtId="168" fontId="0" fillId="0" borderId="9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2" xfId="0" applyFill="1" applyBorder="1" applyAlignment="1">
      <alignment horizontal="left" vertical="center"/>
    </xf>
    <xf numFmtId="0" fontId="0" fillId="3" borderId="3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0" borderId="8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0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3" fillId="0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/>
    </xf>
    <xf numFmtId="166" fontId="0" fillId="0" borderId="7" xfId="0" applyNumberFormat="1" applyBorder="1" applyAlignment="1">
      <alignment horizontal="center" vertical="center"/>
    </xf>
    <xf numFmtId="167" fontId="0" fillId="0" borderId="7" xfId="0" applyNumberFormat="1" applyBorder="1" applyAlignment="1">
      <alignment horizontal="center" vertical="center"/>
    </xf>
    <xf numFmtId="164" fontId="0" fillId="2" borderId="8" xfId="0" applyNumberFormat="1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165" fontId="0" fillId="0" borderId="7" xfId="0" applyNumberFormat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165" fontId="0" fillId="2" borderId="8" xfId="0" applyNumberFormat="1" applyFill="1" applyBorder="1" applyAlignment="1">
      <alignment horizontal="center" vertical="center"/>
    </xf>
    <xf numFmtId="165" fontId="0" fillId="2" borderId="2" xfId="0" applyNumberFormat="1" applyFill="1" applyBorder="1" applyAlignment="1">
      <alignment horizontal="center" vertical="center"/>
    </xf>
    <xf numFmtId="165" fontId="0" fillId="2" borderId="4" xfId="0" applyNumberForma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0" borderId="0" xfId="0" applyBorder="1"/>
    <xf numFmtId="0" fontId="0" fillId="3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65" fontId="0" fillId="2" borderId="13" xfId="0" applyNumberFormat="1" applyFill="1" applyBorder="1" applyAlignment="1">
      <alignment horizontal="center" vertical="center"/>
    </xf>
    <xf numFmtId="165" fontId="0" fillId="2" borderId="14" xfId="0" applyNumberFormat="1" applyFill="1" applyBorder="1" applyAlignment="1">
      <alignment horizontal="center" vertical="center"/>
    </xf>
    <xf numFmtId="165" fontId="0" fillId="2" borderId="15" xfId="0" applyNumberFormat="1" applyFill="1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166" fontId="0" fillId="5" borderId="13" xfId="0" applyNumberFormat="1" applyFill="1" applyBorder="1" applyAlignment="1">
      <alignment horizontal="center" vertical="center"/>
    </xf>
    <xf numFmtId="166" fontId="0" fillId="5" borderId="14" xfId="0" applyNumberFormat="1" applyFill="1" applyBorder="1" applyAlignment="1">
      <alignment horizontal="center" vertical="center"/>
    </xf>
    <xf numFmtId="166" fontId="0" fillId="4" borderId="14" xfId="0" applyNumberFormat="1" applyFill="1" applyBorder="1" applyAlignment="1">
      <alignment horizontal="center" vertical="center"/>
    </xf>
    <xf numFmtId="166" fontId="0" fillId="5" borderId="15" xfId="0" applyNumberFormat="1" applyFill="1" applyBorder="1" applyAlignment="1">
      <alignment horizontal="center" vertical="center"/>
    </xf>
    <xf numFmtId="9" fontId="3" fillId="5" borderId="13" xfId="1" applyFont="1" applyFill="1" applyBorder="1" applyAlignment="1">
      <alignment horizontal="center" vertical="center"/>
    </xf>
    <xf numFmtId="9" fontId="3" fillId="5" borderId="14" xfId="1" applyFont="1" applyFill="1" applyBorder="1" applyAlignment="1">
      <alignment horizontal="center" vertical="center"/>
    </xf>
    <xf numFmtId="9" fontId="3" fillId="4" borderId="14" xfId="1" applyFont="1" applyFill="1" applyBorder="1" applyAlignment="1">
      <alignment horizontal="center" vertical="center"/>
    </xf>
    <xf numFmtId="9" fontId="3" fillId="5" borderId="15" xfId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1"/>
              <a:t>NJ Weather Data</a:t>
            </a:r>
          </a:p>
        </c:rich>
      </c:tx>
      <c:layout>
        <c:manualLayout>
          <c:xMode val="edge"/>
          <c:yMode val="edge"/>
          <c:x val="0.39496580027359779"/>
          <c:y val="2.52525252525252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Main_Plot!$C$1</c:f>
              <c:strCache>
                <c:ptCount val="1"/>
                <c:pt idx="0">
                  <c:v>Soil Temp (K)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Main_Plot!$A$2:$A$13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Main_Plot!$C$2:$C$13</c:f>
              <c:numCache>
                <c:formatCode>General</c:formatCode>
                <c:ptCount val="12"/>
                <c:pt idx="0">
                  <c:v>291.14999999999998</c:v>
                </c:pt>
                <c:pt idx="1">
                  <c:v>291.14999999999998</c:v>
                </c:pt>
                <c:pt idx="2">
                  <c:v>291.14999999999998</c:v>
                </c:pt>
                <c:pt idx="3">
                  <c:v>291.14999999999998</c:v>
                </c:pt>
                <c:pt idx="4">
                  <c:v>291.14999999999998</c:v>
                </c:pt>
                <c:pt idx="5">
                  <c:v>291.14999999999998</c:v>
                </c:pt>
                <c:pt idx="6">
                  <c:v>291.14999999999998</c:v>
                </c:pt>
                <c:pt idx="7">
                  <c:v>291.14999999999998</c:v>
                </c:pt>
                <c:pt idx="8">
                  <c:v>291.14999999999998</c:v>
                </c:pt>
                <c:pt idx="9">
                  <c:v>291.14999999999998</c:v>
                </c:pt>
                <c:pt idx="10">
                  <c:v>291.14999999999998</c:v>
                </c:pt>
                <c:pt idx="11">
                  <c:v>291.14999999999998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37-4FCB-A3C8-68F4056A54FF}"/>
            </c:ext>
          </c:extLst>
        </c:ser>
        <c:ser>
          <c:idx val="1"/>
          <c:order val="1"/>
          <c:tx>
            <c:strRef>
              <c:f>Main_Plot!$D$1</c:f>
              <c:strCache>
                <c:ptCount val="1"/>
                <c:pt idx="0">
                  <c:v>Home Temp (F)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Main_Plot!$A$2:$A$13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Main_Plot!$D$2:$D$13</c:f>
            </c:numRef>
          </c:val>
          <c:smooth val="0"/>
          <c:extLst>
            <c:ext xmlns:c16="http://schemas.microsoft.com/office/drawing/2014/chart" uri="{C3380CC4-5D6E-409C-BE32-E72D297353CC}">
              <c16:uniqueId val="{00000001-A137-4FCB-A3C8-68F4056A54FF}"/>
            </c:ext>
          </c:extLst>
        </c:ser>
        <c:ser>
          <c:idx val="2"/>
          <c:order val="2"/>
          <c:tx>
            <c:strRef>
              <c:f>Main_Plot!$E$1</c:f>
              <c:strCache>
                <c:ptCount val="1"/>
                <c:pt idx="0">
                  <c:v>Home Temp (K)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Main_Plot!$A$2:$A$13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Main_Plot!$E$2:$E$13</c:f>
              <c:numCache>
                <c:formatCode>General</c:formatCode>
                <c:ptCount val="12"/>
                <c:pt idx="0">
                  <c:v>294.26100000000002</c:v>
                </c:pt>
                <c:pt idx="1">
                  <c:v>294.26100000000002</c:v>
                </c:pt>
                <c:pt idx="2">
                  <c:v>294.26100000000002</c:v>
                </c:pt>
                <c:pt idx="3">
                  <c:v>294.26100000000002</c:v>
                </c:pt>
                <c:pt idx="4">
                  <c:v>294.26100000000002</c:v>
                </c:pt>
                <c:pt idx="5">
                  <c:v>294.26100000000002</c:v>
                </c:pt>
                <c:pt idx="6">
                  <c:v>294.26100000000002</c:v>
                </c:pt>
                <c:pt idx="7">
                  <c:v>294.26100000000002</c:v>
                </c:pt>
                <c:pt idx="8">
                  <c:v>294.26100000000002</c:v>
                </c:pt>
                <c:pt idx="9">
                  <c:v>294.26100000000002</c:v>
                </c:pt>
                <c:pt idx="10">
                  <c:v>294.26100000000002</c:v>
                </c:pt>
                <c:pt idx="11">
                  <c:v>294.26100000000002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37-4FCB-A3C8-68F4056A54FF}"/>
            </c:ext>
          </c:extLst>
        </c:ser>
        <c:ser>
          <c:idx val="3"/>
          <c:order val="3"/>
          <c:tx>
            <c:strRef>
              <c:f>Main_Plot!$F$1</c:f>
              <c:strCache>
                <c:ptCount val="1"/>
                <c:pt idx="0">
                  <c:v>Air Temp (F)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Main_Plot!$A$2:$A$13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Main_Plot!$F$2:$F$13</c:f>
            </c:numRef>
          </c:val>
          <c:smooth val="0"/>
          <c:extLst>
            <c:ext xmlns:c16="http://schemas.microsoft.com/office/drawing/2014/chart" uri="{C3380CC4-5D6E-409C-BE32-E72D297353CC}">
              <c16:uniqueId val="{00000003-A137-4FCB-A3C8-68F4056A54FF}"/>
            </c:ext>
          </c:extLst>
        </c:ser>
        <c:ser>
          <c:idx val="4"/>
          <c:order val="4"/>
          <c:tx>
            <c:strRef>
              <c:f>Main_Plot!$G$1</c:f>
              <c:strCache>
                <c:ptCount val="1"/>
                <c:pt idx="0">
                  <c:v>Air Temp (K)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Main_Plot!$A$2:$A$13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Main_Plot!$G$2:$G$13</c:f>
              <c:numCache>
                <c:formatCode>0.000</c:formatCode>
                <c:ptCount val="12"/>
                <c:pt idx="0">
                  <c:v>278.70555555555552</c:v>
                </c:pt>
                <c:pt idx="1">
                  <c:v>280.92777777777775</c:v>
                </c:pt>
                <c:pt idx="2">
                  <c:v>285.92777777777775</c:v>
                </c:pt>
                <c:pt idx="3">
                  <c:v>292.03888888888889</c:v>
                </c:pt>
                <c:pt idx="4">
                  <c:v>297.59444444444443</c:v>
                </c:pt>
                <c:pt idx="5">
                  <c:v>302.03888888888889</c:v>
                </c:pt>
                <c:pt idx="6">
                  <c:v>304.26111111111106</c:v>
                </c:pt>
                <c:pt idx="7">
                  <c:v>303.14999999999998</c:v>
                </c:pt>
                <c:pt idx="8">
                  <c:v>299.26111111111106</c:v>
                </c:pt>
                <c:pt idx="9">
                  <c:v>293.14999999999998</c:v>
                </c:pt>
                <c:pt idx="10">
                  <c:v>287.03888888888889</c:v>
                </c:pt>
                <c:pt idx="11">
                  <c:v>280.92777777777775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137-4FCB-A3C8-68F4056A54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6691960"/>
        <c:axId val="586693928"/>
      </c:lineChart>
      <c:catAx>
        <c:axId val="586691960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3300000" spcFirstLastPara="1" vertOverflow="ellipsis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693928"/>
        <c:crosses val="autoZero"/>
        <c:auto val="1"/>
        <c:lblAlgn val="ctr"/>
        <c:lblOffset val="100"/>
        <c:noMultiLvlLbl val="0"/>
      </c:catAx>
      <c:valAx>
        <c:axId val="586693928"/>
        <c:scaling>
          <c:orientation val="minMax"/>
          <c:min val="2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</a:t>
                </a:r>
                <a:r>
                  <a:rPr lang="en-US" baseline="0"/>
                  <a:t> (K)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691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81727659042619671"/>
          <c:y val="0.14840567400984989"/>
          <c:w val="0.15521472315960505"/>
          <c:h val="0.1394905394288400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1"/>
              <a:t>Heating</a:t>
            </a:r>
            <a:r>
              <a:rPr lang="en-US" sz="1800" b="1" i="1" baseline="0"/>
              <a:t> &amp; Cooling Load</a:t>
            </a:r>
            <a:endParaRPr lang="en-US" sz="1800" b="1" i="1"/>
          </a:p>
        </c:rich>
      </c:tx>
      <c:layout>
        <c:manualLayout>
          <c:xMode val="edge"/>
          <c:yMode val="edge"/>
          <c:x val="0.35188959797267422"/>
          <c:y val="1.89729549235540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Main_Plot!$D$1</c:f>
              <c:strCache>
                <c:ptCount val="1"/>
                <c:pt idx="0">
                  <c:v>Home Temp (F)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Main_Plot!$D$2:$D$13</c:f>
            </c:numRef>
          </c:yVal>
          <c:smooth val="1"/>
          <c:extLst>
            <c:ext xmlns:c16="http://schemas.microsoft.com/office/drawing/2014/chart" uri="{C3380CC4-5D6E-409C-BE32-E72D297353CC}">
              <c16:uniqueId val="{00000001-04D3-48AC-9DD2-0F13374E294F}"/>
            </c:ext>
          </c:extLst>
        </c:ser>
        <c:ser>
          <c:idx val="2"/>
          <c:order val="2"/>
          <c:tx>
            <c:strRef>
              <c:f>Main_Plot!$E$1</c:f>
              <c:strCache>
                <c:ptCount val="1"/>
                <c:pt idx="0">
                  <c:v>Home Temp (K)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Main_Plot!$A$2:$A$13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xVal>
          <c:yVal>
            <c:numRef>
              <c:f>Main_Plot!$E$2:$E$13</c:f>
              <c:numCache>
                <c:formatCode>General</c:formatCode>
                <c:ptCount val="12"/>
                <c:pt idx="0">
                  <c:v>294.26100000000002</c:v>
                </c:pt>
                <c:pt idx="1">
                  <c:v>294.26100000000002</c:v>
                </c:pt>
                <c:pt idx="2">
                  <c:v>294.26100000000002</c:v>
                </c:pt>
                <c:pt idx="3">
                  <c:v>294.26100000000002</c:v>
                </c:pt>
                <c:pt idx="4">
                  <c:v>294.26100000000002</c:v>
                </c:pt>
                <c:pt idx="5">
                  <c:v>294.26100000000002</c:v>
                </c:pt>
                <c:pt idx="6">
                  <c:v>294.26100000000002</c:v>
                </c:pt>
                <c:pt idx="7">
                  <c:v>294.26100000000002</c:v>
                </c:pt>
                <c:pt idx="8">
                  <c:v>294.26100000000002</c:v>
                </c:pt>
                <c:pt idx="9">
                  <c:v>294.26100000000002</c:v>
                </c:pt>
                <c:pt idx="10">
                  <c:v>294.26100000000002</c:v>
                </c:pt>
                <c:pt idx="11">
                  <c:v>294.26100000000002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4D3-48AC-9DD2-0F13374E294F}"/>
            </c:ext>
          </c:extLst>
        </c:ser>
        <c:ser>
          <c:idx val="3"/>
          <c:order val="3"/>
          <c:tx>
            <c:strRef>
              <c:f>Main_Plot!$F$1</c:f>
              <c:strCache>
                <c:ptCount val="1"/>
                <c:pt idx="0">
                  <c:v>Air Temp (F)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Main_Plot!$F$2:$F$13</c:f>
            </c:numRef>
          </c:yVal>
          <c:smooth val="1"/>
          <c:extLst>
            <c:ext xmlns:c16="http://schemas.microsoft.com/office/drawing/2014/chart" uri="{C3380CC4-5D6E-409C-BE32-E72D297353CC}">
              <c16:uniqueId val="{00000003-04D3-48AC-9DD2-0F13374E294F}"/>
            </c:ext>
          </c:extLst>
        </c:ser>
        <c:ser>
          <c:idx val="0"/>
          <c:order val="0"/>
          <c:tx>
            <c:strRef>
              <c:f>Main_Plot!$C$1</c:f>
              <c:strCache>
                <c:ptCount val="1"/>
                <c:pt idx="0">
                  <c:v>Soil Temp (K)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Main_Plot!$A$2:$A$13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xVal>
          <c:yVal>
            <c:numRef>
              <c:f>Main_Plot!$C$2:$C$13</c:f>
              <c:numCache>
                <c:formatCode>General</c:formatCode>
                <c:ptCount val="12"/>
                <c:pt idx="0">
                  <c:v>291.14999999999998</c:v>
                </c:pt>
                <c:pt idx="1">
                  <c:v>291.14999999999998</c:v>
                </c:pt>
                <c:pt idx="2">
                  <c:v>291.14999999999998</c:v>
                </c:pt>
                <c:pt idx="3">
                  <c:v>291.14999999999998</c:v>
                </c:pt>
                <c:pt idx="4">
                  <c:v>291.14999999999998</c:v>
                </c:pt>
                <c:pt idx="5">
                  <c:v>291.14999999999998</c:v>
                </c:pt>
                <c:pt idx="6">
                  <c:v>291.14999999999998</c:v>
                </c:pt>
                <c:pt idx="7">
                  <c:v>291.14999999999998</c:v>
                </c:pt>
                <c:pt idx="8">
                  <c:v>291.14999999999998</c:v>
                </c:pt>
                <c:pt idx="9">
                  <c:v>291.14999999999998</c:v>
                </c:pt>
                <c:pt idx="10">
                  <c:v>291.14999999999998</c:v>
                </c:pt>
                <c:pt idx="11">
                  <c:v>291.14999999999998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4D3-48AC-9DD2-0F13374E294F}"/>
            </c:ext>
          </c:extLst>
        </c:ser>
        <c:ser>
          <c:idx val="4"/>
          <c:order val="4"/>
          <c:tx>
            <c:strRef>
              <c:f>Main_Plot!$G$1</c:f>
              <c:strCache>
                <c:ptCount val="1"/>
                <c:pt idx="0">
                  <c:v>Air Temp (K)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Main_Plot!$A$2:$A$13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xVal>
          <c:yVal>
            <c:numRef>
              <c:f>Main_Plot!$G$2:$G$13</c:f>
              <c:numCache>
                <c:formatCode>0.000</c:formatCode>
                <c:ptCount val="12"/>
                <c:pt idx="0">
                  <c:v>278.70555555555552</c:v>
                </c:pt>
                <c:pt idx="1">
                  <c:v>280.92777777777775</c:v>
                </c:pt>
                <c:pt idx="2">
                  <c:v>285.92777777777775</c:v>
                </c:pt>
                <c:pt idx="3">
                  <c:v>292.03888888888889</c:v>
                </c:pt>
                <c:pt idx="4">
                  <c:v>297.59444444444443</c:v>
                </c:pt>
                <c:pt idx="5">
                  <c:v>302.03888888888889</c:v>
                </c:pt>
                <c:pt idx="6">
                  <c:v>304.26111111111106</c:v>
                </c:pt>
                <c:pt idx="7">
                  <c:v>303.14999999999998</c:v>
                </c:pt>
                <c:pt idx="8">
                  <c:v>299.26111111111106</c:v>
                </c:pt>
                <c:pt idx="9">
                  <c:v>293.14999999999998</c:v>
                </c:pt>
                <c:pt idx="10">
                  <c:v>287.03888888888889</c:v>
                </c:pt>
                <c:pt idx="11">
                  <c:v>280.92777777777775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4D3-48AC-9DD2-0F13374E29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6691960"/>
        <c:axId val="586693928"/>
      </c:scatterChart>
      <c:scatterChart>
        <c:scatterStyle val="smoothMarker"/>
        <c:varyColors val="0"/>
        <c:ser>
          <c:idx val="5"/>
          <c:order val="5"/>
          <c:tx>
            <c:strRef>
              <c:f>Main_Plot!$AA$1</c:f>
              <c:strCache>
                <c:ptCount val="1"/>
                <c:pt idx="0">
                  <c:v>q_Required (W)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Main_Plot!$AA$2:$AA$13</c:f>
              <c:numCache>
                <c:formatCode>0.0000</c:formatCode>
                <c:ptCount val="12"/>
                <c:pt idx="0">
                  <c:v>466.89004165802197</c:v>
                </c:pt>
                <c:pt idx="1">
                  <c:v>391.03456169876046</c:v>
                </c:pt>
                <c:pt idx="2">
                  <c:v>227.40249850358992</c:v>
                </c:pt>
                <c:pt idx="3">
                  <c:v>43.788422206674284</c:v>
                </c:pt>
                <c:pt idx="4">
                  <c:v>-119.45290978561195</c:v>
                </c:pt>
                <c:pt idx="5">
                  <c:v>-252.27536147381778</c:v>
                </c:pt>
                <c:pt idx="6">
                  <c:v>-322.34983270656198</c:v>
                </c:pt>
                <c:pt idx="7">
                  <c:v>-287.06905447472383</c:v>
                </c:pt>
                <c:pt idx="8">
                  <c:v>-167.83400484093323</c:v>
                </c:pt>
                <c:pt idx="9">
                  <c:v>14.159985272397542</c:v>
                </c:pt>
                <c:pt idx="10">
                  <c:v>191.69190993103444</c:v>
                </c:pt>
                <c:pt idx="11">
                  <c:v>391.03456169876046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4D3-48AC-9DD2-0F13374E29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7722568"/>
        <c:axId val="307721256"/>
      </c:scatterChart>
      <c:valAx>
        <c:axId val="586691960"/>
        <c:scaling>
          <c:orientation val="minMax"/>
          <c:max val="12"/>
          <c:min val="1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3300000" spcFirstLastPara="1" vertOverflow="ellipsis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693928"/>
        <c:crosses val="autoZero"/>
        <c:crossBetween val="midCat"/>
        <c:majorUnit val="1"/>
      </c:valAx>
      <c:valAx>
        <c:axId val="586693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 i="0" baseline="0"/>
                  <a:t>Temperature  (K)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691960"/>
        <c:crosses val="autoZero"/>
        <c:crossBetween val="midCat"/>
      </c:valAx>
      <c:valAx>
        <c:axId val="30772125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 i="0" baseline="0"/>
                  <a:t>Heat Rate (W)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722568"/>
        <c:crosses val="max"/>
        <c:crossBetween val="midCat"/>
      </c:valAx>
      <c:valAx>
        <c:axId val="307722568"/>
        <c:scaling>
          <c:orientation val="minMax"/>
        </c:scaling>
        <c:delete val="1"/>
        <c:axPos val="b"/>
        <c:majorTickMark val="out"/>
        <c:minorTickMark val="none"/>
        <c:tickLblPos val="nextTo"/>
        <c:crossAx val="307721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8278543731811822"/>
          <c:y val="8.5125701699738876E-2"/>
          <c:w val="0.66626393084309232"/>
          <c:h val="4.0388626082955105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1"/>
              <a:t>[Heating</a:t>
            </a:r>
            <a:r>
              <a:rPr lang="en-US" sz="1600" b="1" i="1" baseline="0"/>
              <a:t> &amp; Cooling Load Comparison] None-Fiber Glass vs. Added-Fiber Glass</a:t>
            </a:r>
            <a:endParaRPr lang="en-US" sz="1600" b="1" i="1"/>
          </a:p>
        </c:rich>
      </c:tx>
      <c:layout>
        <c:manualLayout>
          <c:xMode val="edge"/>
          <c:yMode val="edge"/>
          <c:x val="0.10174754635636785"/>
          <c:y val="2.1066099528861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Main_Plot!$D$1</c:f>
              <c:strCache>
                <c:ptCount val="1"/>
                <c:pt idx="0">
                  <c:v>Home Temp (F)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Main_Plot!$D$2:$D$13</c:f>
            </c:numRef>
          </c:yVal>
          <c:smooth val="1"/>
          <c:extLst>
            <c:ext xmlns:c16="http://schemas.microsoft.com/office/drawing/2014/chart" uri="{C3380CC4-5D6E-409C-BE32-E72D297353CC}">
              <c16:uniqueId val="{00000000-8213-47A5-BB48-6FA21918201C}"/>
            </c:ext>
          </c:extLst>
        </c:ser>
        <c:ser>
          <c:idx val="2"/>
          <c:order val="1"/>
          <c:tx>
            <c:strRef>
              <c:f>'Required_6_Plot (WRONG)'!$E$1</c:f>
              <c:strCache>
                <c:ptCount val="1"/>
                <c:pt idx="0">
                  <c:v>Home Temp (K)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'Required_6_Plot (WRONG)'!$A$2:$A$13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xVal>
          <c:yVal>
            <c:numRef>
              <c:f>'Required_6_Plot (WRONG)'!$E$2:$E$13</c:f>
              <c:numCache>
                <c:formatCode>General</c:formatCode>
                <c:ptCount val="12"/>
                <c:pt idx="0">
                  <c:v>294.26100000000002</c:v>
                </c:pt>
                <c:pt idx="1">
                  <c:v>294.26100000000002</c:v>
                </c:pt>
                <c:pt idx="2">
                  <c:v>294.26100000000002</c:v>
                </c:pt>
                <c:pt idx="3">
                  <c:v>294.26100000000002</c:v>
                </c:pt>
                <c:pt idx="4">
                  <c:v>294.26100000000002</c:v>
                </c:pt>
                <c:pt idx="5">
                  <c:v>294.26100000000002</c:v>
                </c:pt>
                <c:pt idx="6">
                  <c:v>294.26100000000002</c:v>
                </c:pt>
                <c:pt idx="7">
                  <c:v>294.26100000000002</c:v>
                </c:pt>
                <c:pt idx="8">
                  <c:v>294.26100000000002</c:v>
                </c:pt>
                <c:pt idx="9">
                  <c:v>294.26100000000002</c:v>
                </c:pt>
                <c:pt idx="10">
                  <c:v>294.26100000000002</c:v>
                </c:pt>
                <c:pt idx="11">
                  <c:v>294.26100000000002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213-47A5-BB48-6FA21918201C}"/>
            </c:ext>
          </c:extLst>
        </c:ser>
        <c:ser>
          <c:idx val="3"/>
          <c:order val="2"/>
          <c:tx>
            <c:strRef>
              <c:f>Main_Plot!$F$1</c:f>
              <c:strCache>
                <c:ptCount val="1"/>
                <c:pt idx="0">
                  <c:v>Air Temp (F)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Main_Plot!$F$2:$F$13</c:f>
            </c:numRef>
          </c:yVal>
          <c:smooth val="1"/>
          <c:extLst>
            <c:ext xmlns:c16="http://schemas.microsoft.com/office/drawing/2014/chart" uri="{C3380CC4-5D6E-409C-BE32-E72D297353CC}">
              <c16:uniqueId val="{00000002-8213-47A5-BB48-6FA21918201C}"/>
            </c:ext>
          </c:extLst>
        </c:ser>
        <c:ser>
          <c:idx val="4"/>
          <c:order val="3"/>
          <c:tx>
            <c:strRef>
              <c:f>'Required_6_Plot (WRONG)'!$G$1</c:f>
              <c:strCache>
                <c:ptCount val="1"/>
                <c:pt idx="0">
                  <c:v>Air Temp (K)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'Required_6_Plot (WRONG)'!$A$2:$A$13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xVal>
          <c:yVal>
            <c:numRef>
              <c:f>'Required_6_Plot (WRONG)'!$G$2:$G$13</c:f>
              <c:numCache>
                <c:formatCode>0.000</c:formatCode>
                <c:ptCount val="12"/>
                <c:pt idx="0">
                  <c:v>278.70555555555552</c:v>
                </c:pt>
                <c:pt idx="1">
                  <c:v>280.92777777777775</c:v>
                </c:pt>
                <c:pt idx="2">
                  <c:v>285.92777777777775</c:v>
                </c:pt>
                <c:pt idx="3">
                  <c:v>292.03888888888889</c:v>
                </c:pt>
                <c:pt idx="4">
                  <c:v>297.59444444444443</c:v>
                </c:pt>
                <c:pt idx="5">
                  <c:v>302.03888888888889</c:v>
                </c:pt>
                <c:pt idx="6">
                  <c:v>304.26111111111106</c:v>
                </c:pt>
                <c:pt idx="7">
                  <c:v>303.14999999999998</c:v>
                </c:pt>
                <c:pt idx="8">
                  <c:v>299.26111111111106</c:v>
                </c:pt>
                <c:pt idx="9">
                  <c:v>293.14999999999998</c:v>
                </c:pt>
                <c:pt idx="10">
                  <c:v>287.03888888888889</c:v>
                </c:pt>
                <c:pt idx="11">
                  <c:v>280.92777777777775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213-47A5-BB48-6FA2191820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6691960"/>
        <c:axId val="586693928"/>
      </c:scatterChart>
      <c:scatterChart>
        <c:scatterStyle val="smoothMarker"/>
        <c:varyColors val="0"/>
        <c:ser>
          <c:idx val="5"/>
          <c:order val="4"/>
          <c:tx>
            <c:v>q_Added_FiberGlass (W)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'Required_6_Plot (WRONG)'!$AA$2:$AA$13</c:f>
              <c:numCache>
                <c:formatCode>0.0000</c:formatCode>
                <c:ptCount val="12"/>
                <c:pt idx="0">
                  <c:v>457.12655466267671</c:v>
                </c:pt>
                <c:pt idx="1">
                  <c:v>382.99036934100059</c:v>
                </c:pt>
                <c:pt idx="2">
                  <c:v>222.91456436403939</c:v>
                </c:pt>
                <c:pt idx="3">
                  <c:v>42.929552276815485</c:v>
                </c:pt>
                <c:pt idx="4">
                  <c:v>-118.04723720521589</c:v>
                </c:pt>
                <c:pt idx="5">
                  <c:v>-248.25354868306849</c:v>
                </c:pt>
                <c:pt idx="6">
                  <c:v>-316.86158186201811</c:v>
                </c:pt>
                <c:pt idx="7">
                  <c:v>-282.32463435258643</c:v>
                </c:pt>
                <c:pt idx="8">
                  <c:v>-165.50860179590345</c:v>
                </c:pt>
                <c:pt idx="9">
                  <c:v>13.796104038302673</c:v>
                </c:pt>
                <c:pt idx="10">
                  <c:v>187.96166461236126</c:v>
                </c:pt>
                <c:pt idx="11">
                  <c:v>382.99036934100059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213-47A5-BB48-6FA21918201C}"/>
            </c:ext>
          </c:extLst>
        </c:ser>
        <c:ser>
          <c:idx val="0"/>
          <c:order val="5"/>
          <c:tx>
            <c:v>q_None_FiberGlass (W)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Main_Plot!$A$2:$A$13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xVal>
          <c:yVal>
            <c:numRef>
              <c:f>Main_Plot!$AA$2:$AA$13</c:f>
              <c:numCache>
                <c:formatCode>0.0000</c:formatCode>
                <c:ptCount val="12"/>
                <c:pt idx="0">
                  <c:v>466.89004165802197</c:v>
                </c:pt>
                <c:pt idx="1">
                  <c:v>391.03456169876046</c:v>
                </c:pt>
                <c:pt idx="2">
                  <c:v>227.40249850358992</c:v>
                </c:pt>
                <c:pt idx="3">
                  <c:v>43.788422206674284</c:v>
                </c:pt>
                <c:pt idx="4">
                  <c:v>-119.45290978561195</c:v>
                </c:pt>
                <c:pt idx="5">
                  <c:v>-252.27536147381778</c:v>
                </c:pt>
                <c:pt idx="6">
                  <c:v>-322.34983270656198</c:v>
                </c:pt>
                <c:pt idx="7">
                  <c:v>-287.06905447472383</c:v>
                </c:pt>
                <c:pt idx="8">
                  <c:v>-167.83400484093323</c:v>
                </c:pt>
                <c:pt idx="9">
                  <c:v>14.159985272397542</c:v>
                </c:pt>
                <c:pt idx="10">
                  <c:v>191.69190993103444</c:v>
                </c:pt>
                <c:pt idx="11">
                  <c:v>391.03456169876046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213-47A5-BB48-6FA2191820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7722568"/>
        <c:axId val="307721256"/>
      </c:scatterChart>
      <c:valAx>
        <c:axId val="586691960"/>
        <c:scaling>
          <c:orientation val="minMax"/>
          <c:max val="12"/>
          <c:min val="1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3300000" spcFirstLastPara="1" vertOverflow="ellipsis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693928"/>
        <c:crosses val="autoZero"/>
        <c:crossBetween val="midCat"/>
        <c:majorUnit val="1"/>
      </c:valAx>
      <c:valAx>
        <c:axId val="586693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 i="0" baseline="0"/>
                  <a:t>Temperature  (K)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691960"/>
        <c:crosses val="autoZero"/>
        <c:crossBetween val="midCat"/>
      </c:valAx>
      <c:valAx>
        <c:axId val="30772125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 i="0" baseline="0"/>
                  <a:t>Heat Rate (W)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722568"/>
        <c:crosses val="max"/>
        <c:crossBetween val="midCat"/>
      </c:valAx>
      <c:valAx>
        <c:axId val="307722568"/>
        <c:scaling>
          <c:orientation val="minMax"/>
        </c:scaling>
        <c:delete val="1"/>
        <c:axPos val="b"/>
        <c:majorTickMark val="out"/>
        <c:minorTickMark val="none"/>
        <c:tickLblPos val="nextTo"/>
        <c:crossAx val="307721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8.1168787478097928E-2"/>
          <c:y val="8.5125718879801762E-2"/>
          <c:w val="0.82196070605969385"/>
          <c:h val="4.0388626082955105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1"/>
              <a:t>[Heating</a:t>
            </a:r>
            <a:r>
              <a:rPr lang="en-US" sz="1800" b="1" i="1" baseline="0"/>
              <a:t> &amp; Cooling Load] Added-Fiber vs. None-Fiber</a:t>
            </a:r>
            <a:endParaRPr lang="en-US" sz="1800" b="1" i="1"/>
          </a:p>
        </c:rich>
      </c:tx>
      <c:layout>
        <c:manualLayout>
          <c:xMode val="edge"/>
          <c:yMode val="edge"/>
          <c:x val="0.21924869086288643"/>
          <c:y val="1.89729549235540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Main_Plot!$D$1</c:f>
              <c:strCache>
                <c:ptCount val="1"/>
                <c:pt idx="0">
                  <c:v>Home Temp (F)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Main_Plot!$D$2:$D$13</c:f>
            </c:numRef>
          </c:yVal>
          <c:smooth val="1"/>
          <c:extLst>
            <c:ext xmlns:c16="http://schemas.microsoft.com/office/drawing/2014/chart" uri="{C3380CC4-5D6E-409C-BE32-E72D297353CC}">
              <c16:uniqueId val="{00000000-1781-4E44-AD03-DF5CAB3C76FE}"/>
            </c:ext>
          </c:extLst>
        </c:ser>
        <c:ser>
          <c:idx val="2"/>
          <c:order val="1"/>
          <c:tx>
            <c:strRef>
              <c:f>Required_6_Plot!$E$1</c:f>
              <c:strCache>
                <c:ptCount val="1"/>
                <c:pt idx="0">
                  <c:v>Home Temp (K)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Required_6_Plot!$A$2:$A$13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xVal>
          <c:yVal>
            <c:numRef>
              <c:f>Required_6_Plot!$E$2:$E$13</c:f>
              <c:numCache>
                <c:formatCode>General</c:formatCode>
                <c:ptCount val="12"/>
                <c:pt idx="0">
                  <c:v>294.26100000000002</c:v>
                </c:pt>
                <c:pt idx="1">
                  <c:v>294.26100000000002</c:v>
                </c:pt>
                <c:pt idx="2">
                  <c:v>294.26100000000002</c:v>
                </c:pt>
                <c:pt idx="3">
                  <c:v>294.26100000000002</c:v>
                </c:pt>
                <c:pt idx="4">
                  <c:v>294.26100000000002</c:v>
                </c:pt>
                <c:pt idx="5">
                  <c:v>294.26100000000002</c:v>
                </c:pt>
                <c:pt idx="6">
                  <c:v>294.26100000000002</c:v>
                </c:pt>
                <c:pt idx="7">
                  <c:v>294.26100000000002</c:v>
                </c:pt>
                <c:pt idx="8">
                  <c:v>294.26100000000002</c:v>
                </c:pt>
                <c:pt idx="9">
                  <c:v>294.26100000000002</c:v>
                </c:pt>
                <c:pt idx="10">
                  <c:v>294.26100000000002</c:v>
                </c:pt>
                <c:pt idx="11">
                  <c:v>294.26100000000002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781-4E44-AD03-DF5CAB3C76FE}"/>
            </c:ext>
          </c:extLst>
        </c:ser>
        <c:ser>
          <c:idx val="3"/>
          <c:order val="2"/>
          <c:tx>
            <c:strRef>
              <c:f>Main_Plot!$F$1</c:f>
              <c:strCache>
                <c:ptCount val="1"/>
                <c:pt idx="0">
                  <c:v>Air Temp (F)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Main_Plot!$F$2:$F$13</c:f>
            </c:numRef>
          </c:yVal>
          <c:smooth val="1"/>
          <c:extLst>
            <c:ext xmlns:c16="http://schemas.microsoft.com/office/drawing/2014/chart" uri="{C3380CC4-5D6E-409C-BE32-E72D297353CC}">
              <c16:uniqueId val="{00000002-1781-4E44-AD03-DF5CAB3C76FE}"/>
            </c:ext>
          </c:extLst>
        </c:ser>
        <c:ser>
          <c:idx val="4"/>
          <c:order val="3"/>
          <c:tx>
            <c:strRef>
              <c:f>Required_6_Plot!$G$1</c:f>
              <c:strCache>
                <c:ptCount val="1"/>
                <c:pt idx="0">
                  <c:v>Air Temp (K)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Required_6_Plot!$A$2:$A$13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xVal>
          <c:yVal>
            <c:numRef>
              <c:f>Required_6_Plot!$G$2:$G$13</c:f>
              <c:numCache>
                <c:formatCode>0.000</c:formatCode>
                <c:ptCount val="12"/>
                <c:pt idx="0">
                  <c:v>278.70555555555552</c:v>
                </c:pt>
                <c:pt idx="1">
                  <c:v>280.92777777777775</c:v>
                </c:pt>
                <c:pt idx="2">
                  <c:v>285.92777777777775</c:v>
                </c:pt>
                <c:pt idx="3">
                  <c:v>292.03888888888889</c:v>
                </c:pt>
                <c:pt idx="4">
                  <c:v>297.59444444444443</c:v>
                </c:pt>
                <c:pt idx="5">
                  <c:v>302.03888888888889</c:v>
                </c:pt>
                <c:pt idx="6">
                  <c:v>304.26111111111106</c:v>
                </c:pt>
                <c:pt idx="7">
                  <c:v>303.14999999999998</c:v>
                </c:pt>
                <c:pt idx="8">
                  <c:v>299.26111111111106</c:v>
                </c:pt>
                <c:pt idx="9">
                  <c:v>293.14999999999998</c:v>
                </c:pt>
                <c:pt idx="10">
                  <c:v>287.03888888888889</c:v>
                </c:pt>
                <c:pt idx="11">
                  <c:v>280.92777777777775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781-4E44-AD03-DF5CAB3C76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6691960"/>
        <c:axId val="586693928"/>
      </c:scatterChart>
      <c:scatterChart>
        <c:scatterStyle val="smoothMarker"/>
        <c:varyColors val="0"/>
        <c:ser>
          <c:idx val="5"/>
          <c:order val="4"/>
          <c:tx>
            <c:strRef>
              <c:f>Required_6_Plot!$AA$1</c:f>
              <c:strCache>
                <c:ptCount val="1"/>
                <c:pt idx="0">
                  <c:v>q_Added_Fiber (W)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Required_6_Plot!$A$2:$A$13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xVal>
          <c:yVal>
            <c:numRef>
              <c:f>Required_6_Plot!$AA$2:$AA$13</c:f>
              <c:numCache>
                <c:formatCode>0.0000</c:formatCode>
                <c:ptCount val="12"/>
                <c:pt idx="0">
                  <c:v>390.67944139164564</c:v>
                </c:pt>
                <c:pt idx="1">
                  <c:v>327.75341030130392</c:v>
                </c:pt>
                <c:pt idx="2">
                  <c:v>191.06959527058152</c:v>
                </c:pt>
                <c:pt idx="3">
                  <c:v>35.545277378714772</c:v>
                </c:pt>
                <c:pt idx="4">
                  <c:v>-106.85790936104779</c:v>
                </c:pt>
                <c:pt idx="5">
                  <c:v>-219.44128959558546</c:v>
                </c:pt>
                <c:pt idx="6">
                  <c:v>-278.32955304282302</c:v>
                </c:pt>
                <c:pt idx="7">
                  <c:v>-248.71430745132096</c:v>
                </c:pt>
                <c:pt idx="8">
                  <c:v>-148.05726924666988</c:v>
                </c:pt>
                <c:pt idx="9">
                  <c:v>9.9761185531954126</c:v>
                </c:pt>
                <c:pt idx="10">
                  <c:v>161.12563672402442</c:v>
                </c:pt>
                <c:pt idx="11">
                  <c:v>327.75341030130392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781-4E44-AD03-DF5CAB3C76FE}"/>
            </c:ext>
          </c:extLst>
        </c:ser>
        <c:ser>
          <c:idx val="0"/>
          <c:order val="5"/>
          <c:tx>
            <c:strRef>
              <c:f>Required_6_Plot!$AB$1</c:f>
              <c:strCache>
                <c:ptCount val="1"/>
                <c:pt idx="0">
                  <c:v>q_None_Fiber (W)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Required_6_Plot!$A$2:$A$13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xVal>
          <c:yVal>
            <c:numRef>
              <c:f>Required_6_Plot!$AB$2:$AB$13</c:f>
              <c:numCache>
                <c:formatCode>0.0000</c:formatCode>
                <c:ptCount val="12"/>
                <c:pt idx="0">
                  <c:v>466.89004165802197</c:v>
                </c:pt>
                <c:pt idx="1">
                  <c:v>391.03456169876046</c:v>
                </c:pt>
                <c:pt idx="2">
                  <c:v>227.40249850358992</c:v>
                </c:pt>
                <c:pt idx="3">
                  <c:v>43.788422206674284</c:v>
                </c:pt>
                <c:pt idx="4">
                  <c:v>-119.45290978561195</c:v>
                </c:pt>
                <c:pt idx="5">
                  <c:v>-252.27536147381778</c:v>
                </c:pt>
                <c:pt idx="6">
                  <c:v>-322.34983270656198</c:v>
                </c:pt>
                <c:pt idx="7">
                  <c:v>-287.06905447472383</c:v>
                </c:pt>
                <c:pt idx="8">
                  <c:v>-167.83400484093323</c:v>
                </c:pt>
                <c:pt idx="9">
                  <c:v>14.159985272397542</c:v>
                </c:pt>
                <c:pt idx="10">
                  <c:v>191.69190993103444</c:v>
                </c:pt>
                <c:pt idx="11">
                  <c:v>391.03456169876046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1781-4E44-AD03-DF5CAB3C76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7722568"/>
        <c:axId val="307721256"/>
      </c:scatterChart>
      <c:valAx>
        <c:axId val="586691960"/>
        <c:scaling>
          <c:orientation val="minMax"/>
          <c:max val="12"/>
          <c:min val="1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3300000" spcFirstLastPara="1" vertOverflow="ellipsis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693928"/>
        <c:crosses val="autoZero"/>
        <c:crossBetween val="midCat"/>
        <c:majorUnit val="1"/>
      </c:valAx>
      <c:valAx>
        <c:axId val="586693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 i="0" baseline="0"/>
                  <a:t>Temperature  (K)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691960"/>
        <c:crosses val="autoZero"/>
        <c:crossBetween val="midCat"/>
      </c:valAx>
      <c:valAx>
        <c:axId val="30772125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 i="0" baseline="0"/>
                  <a:t>Heat Rate (W)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722568"/>
        <c:crosses val="max"/>
        <c:crossBetween val="midCat"/>
      </c:valAx>
      <c:valAx>
        <c:axId val="307722568"/>
        <c:scaling>
          <c:orientation val="minMax"/>
        </c:scaling>
        <c:delete val="1"/>
        <c:axPos val="b"/>
        <c:majorTickMark val="out"/>
        <c:minorTickMark val="none"/>
        <c:tickLblPos val="nextTo"/>
        <c:crossAx val="307721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76832144607044262"/>
          <c:y val="8.3673538004419012E-2"/>
          <c:w val="0.15252126211165304"/>
          <c:h val="0.1615545043318204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381000</xdr:colOff>
      <xdr:row>13</xdr:row>
      <xdr:rowOff>66675</xdr:rowOff>
    </xdr:from>
    <xdr:to>
      <xdr:col>25</xdr:col>
      <xdr:colOff>466725</xdr:colOff>
      <xdr:row>43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6CD6349-91D3-4FB8-826D-B637B485AE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333374</xdr:colOff>
      <xdr:row>43</xdr:row>
      <xdr:rowOff>171450</xdr:rowOff>
    </xdr:from>
    <xdr:to>
      <xdr:col>25</xdr:col>
      <xdr:colOff>571500</xdr:colOff>
      <xdr:row>75</xdr:row>
      <xdr:rowOff>142876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8A9C821-4B09-4693-9CA7-32BB8C9C18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333374</xdr:colOff>
      <xdr:row>13</xdr:row>
      <xdr:rowOff>161925</xdr:rowOff>
    </xdr:from>
    <xdr:to>
      <xdr:col>25</xdr:col>
      <xdr:colOff>571500</xdr:colOff>
      <xdr:row>48</xdr:row>
      <xdr:rowOff>133351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8F6D496-3938-4BFB-ABDA-D73FC9457B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133351</xdr:colOff>
      <xdr:row>13</xdr:row>
      <xdr:rowOff>19050</xdr:rowOff>
    </xdr:from>
    <xdr:to>
      <xdr:col>28</xdr:col>
      <xdr:colOff>495300</xdr:colOff>
      <xdr:row>47</xdr:row>
      <xdr:rowOff>180976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0306884-F4BF-42C2-A284-A23D4B28DC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72716-D025-4DC5-8838-25A1C25B8C71}">
  <dimension ref="A1:F13"/>
  <sheetViews>
    <sheetView workbookViewId="0">
      <selection activeCell="F2" sqref="F2:F13"/>
    </sheetView>
  </sheetViews>
  <sheetFormatPr defaultColWidth="9.15234375" defaultRowHeight="14.6" x14ac:dyDescent="0.4"/>
  <cols>
    <col min="1" max="1" width="10.84375" style="1" bestFit="1" customWidth="1"/>
    <col min="2" max="2" width="11.84375" style="1" bestFit="1" customWidth="1"/>
    <col min="3" max="3" width="12" style="1" bestFit="1" customWidth="1"/>
    <col min="4" max="4" width="14.84375" style="1" bestFit="1" customWidth="1"/>
    <col min="5" max="5" width="12.69140625" style="1" bestFit="1" customWidth="1"/>
    <col min="6" max="6" width="10.3046875" style="1" customWidth="1"/>
    <col min="7" max="16384" width="9.15234375" style="1"/>
  </cols>
  <sheetData>
    <row r="1" spans="1:6" x14ac:dyDescent="0.4">
      <c r="B1" s="1" t="s">
        <v>13</v>
      </c>
      <c r="C1" s="1" t="s">
        <v>18</v>
      </c>
      <c r="D1" s="1" t="s">
        <v>14</v>
      </c>
      <c r="E1" s="1" t="s">
        <v>15</v>
      </c>
    </row>
    <row r="2" spans="1:6" x14ac:dyDescent="0.4">
      <c r="A2" s="1" t="s">
        <v>0</v>
      </c>
      <c r="B2" s="1">
        <v>42</v>
      </c>
      <c r="C2" s="1">
        <f>(B2-32)*(5/9)+273.15</f>
        <v>278.70555555555552</v>
      </c>
      <c r="D2" s="1">
        <f>294.261</f>
        <v>294.26100000000002</v>
      </c>
      <c r="E2" s="1">
        <f>C2-D2</f>
        <v>-15.555444444444504</v>
      </c>
      <c r="F2" s="1" t="s">
        <v>16</v>
      </c>
    </row>
    <row r="3" spans="1:6" x14ac:dyDescent="0.4">
      <c r="A3" s="1" t="s">
        <v>1</v>
      </c>
      <c r="B3" s="1">
        <v>46</v>
      </c>
      <c r="C3" s="1">
        <f t="shared" ref="C3:C13" si="0">(B3-32)*(5/9)+273.15</f>
        <v>280.92777777777775</v>
      </c>
      <c r="D3" s="1">
        <f t="shared" ref="D3:D13" si="1">294.261</f>
        <v>294.26100000000002</v>
      </c>
      <c r="E3" s="1">
        <f t="shared" ref="E3:E13" si="2">C3-D3</f>
        <v>-13.333222222222275</v>
      </c>
      <c r="F3" s="1" t="s">
        <v>16</v>
      </c>
    </row>
    <row r="4" spans="1:6" x14ac:dyDescent="0.4">
      <c r="A4" s="1" t="s">
        <v>2</v>
      </c>
      <c r="B4" s="1">
        <v>55</v>
      </c>
      <c r="C4" s="1">
        <f t="shared" si="0"/>
        <v>285.92777777777775</v>
      </c>
      <c r="D4" s="1">
        <f t="shared" si="1"/>
        <v>294.26100000000002</v>
      </c>
      <c r="E4" s="1">
        <f t="shared" si="2"/>
        <v>-8.3332222222222754</v>
      </c>
      <c r="F4" s="1" t="s">
        <v>16</v>
      </c>
    </row>
    <row r="5" spans="1:6" x14ac:dyDescent="0.4">
      <c r="A5" s="1" t="s">
        <v>3</v>
      </c>
      <c r="B5" s="1">
        <v>66</v>
      </c>
      <c r="C5" s="1">
        <f t="shared" si="0"/>
        <v>292.03888888888889</v>
      </c>
      <c r="D5" s="1">
        <f t="shared" si="1"/>
        <v>294.26100000000002</v>
      </c>
      <c r="E5" s="1">
        <f t="shared" si="2"/>
        <v>-2.2221111111111327</v>
      </c>
      <c r="F5" s="1" t="s">
        <v>16</v>
      </c>
    </row>
    <row r="6" spans="1:6" x14ac:dyDescent="0.4">
      <c r="A6" s="1" t="s">
        <v>4</v>
      </c>
      <c r="B6" s="1">
        <v>76</v>
      </c>
      <c r="C6" s="1">
        <f t="shared" si="0"/>
        <v>297.59444444444443</v>
      </c>
      <c r="D6" s="1">
        <f t="shared" si="1"/>
        <v>294.26100000000002</v>
      </c>
      <c r="E6" s="1">
        <f t="shared" si="2"/>
        <v>3.3334444444444102</v>
      </c>
      <c r="F6" s="1" t="s">
        <v>17</v>
      </c>
    </row>
    <row r="7" spans="1:6" x14ac:dyDescent="0.4">
      <c r="A7" s="1" t="s">
        <v>5</v>
      </c>
      <c r="B7" s="1">
        <v>84</v>
      </c>
      <c r="C7" s="1">
        <f t="shared" si="0"/>
        <v>302.03888888888889</v>
      </c>
      <c r="D7" s="1">
        <f t="shared" si="1"/>
        <v>294.26100000000002</v>
      </c>
      <c r="E7" s="1">
        <f t="shared" si="2"/>
        <v>7.7778888888888673</v>
      </c>
      <c r="F7" s="1" t="s">
        <v>17</v>
      </c>
    </row>
    <row r="8" spans="1:6" x14ac:dyDescent="0.4">
      <c r="A8" s="1" t="s">
        <v>6</v>
      </c>
      <c r="B8" s="1">
        <v>88</v>
      </c>
      <c r="C8" s="1">
        <f t="shared" si="0"/>
        <v>304.26111111111106</v>
      </c>
      <c r="D8" s="1">
        <f t="shared" si="1"/>
        <v>294.26100000000002</v>
      </c>
      <c r="E8" s="1">
        <f t="shared" si="2"/>
        <v>10.000111111111039</v>
      </c>
      <c r="F8" s="1" t="s">
        <v>17</v>
      </c>
    </row>
    <row r="9" spans="1:6" x14ac:dyDescent="0.4">
      <c r="A9" s="1" t="s">
        <v>7</v>
      </c>
      <c r="B9" s="1">
        <v>86</v>
      </c>
      <c r="C9" s="1">
        <f t="shared" si="0"/>
        <v>303.14999999999998</v>
      </c>
      <c r="D9" s="1">
        <f t="shared" si="1"/>
        <v>294.26100000000002</v>
      </c>
      <c r="E9" s="1">
        <f t="shared" si="2"/>
        <v>8.8889999999999532</v>
      </c>
      <c r="F9" s="1" t="s">
        <v>17</v>
      </c>
    </row>
    <row r="10" spans="1:6" x14ac:dyDescent="0.4">
      <c r="A10" s="1" t="s">
        <v>8</v>
      </c>
      <c r="B10" s="1">
        <v>79</v>
      </c>
      <c r="C10" s="1">
        <f t="shared" si="0"/>
        <v>299.26111111111106</v>
      </c>
      <c r="D10" s="1">
        <f t="shared" si="1"/>
        <v>294.26100000000002</v>
      </c>
      <c r="E10" s="1">
        <f t="shared" si="2"/>
        <v>5.000111111111039</v>
      </c>
      <c r="F10" s="1" t="s">
        <v>17</v>
      </c>
    </row>
    <row r="11" spans="1:6" x14ac:dyDescent="0.4">
      <c r="A11" s="1" t="s">
        <v>9</v>
      </c>
      <c r="B11" s="1">
        <v>68</v>
      </c>
      <c r="C11" s="1">
        <f t="shared" si="0"/>
        <v>293.14999999999998</v>
      </c>
      <c r="D11" s="1">
        <f t="shared" si="1"/>
        <v>294.26100000000002</v>
      </c>
      <c r="E11" s="1">
        <f t="shared" si="2"/>
        <v>-1.1110000000000468</v>
      </c>
      <c r="F11" s="1" t="s">
        <v>16</v>
      </c>
    </row>
    <row r="12" spans="1:6" x14ac:dyDescent="0.4">
      <c r="A12" s="1" t="s">
        <v>10</v>
      </c>
      <c r="B12" s="1">
        <v>57</v>
      </c>
      <c r="C12" s="1">
        <f t="shared" si="0"/>
        <v>287.03888888888889</v>
      </c>
      <c r="D12" s="1">
        <f t="shared" si="1"/>
        <v>294.26100000000002</v>
      </c>
      <c r="E12" s="1">
        <f t="shared" si="2"/>
        <v>-7.2221111111111327</v>
      </c>
      <c r="F12" s="1" t="s">
        <v>16</v>
      </c>
    </row>
    <row r="13" spans="1:6" x14ac:dyDescent="0.4">
      <c r="A13" s="1" t="s">
        <v>11</v>
      </c>
      <c r="B13" s="1">
        <v>46</v>
      </c>
      <c r="C13" s="1">
        <f t="shared" si="0"/>
        <v>280.92777777777775</v>
      </c>
      <c r="D13" s="1">
        <f t="shared" si="1"/>
        <v>294.26100000000002</v>
      </c>
      <c r="E13" s="1">
        <f t="shared" si="2"/>
        <v>-13.333222222222275</v>
      </c>
      <c r="F13" s="1" t="s">
        <v>16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D0D11-61BB-4CA4-BF36-F44D316EB199}">
  <sheetPr>
    <pageSetUpPr fitToPage="1"/>
  </sheetPr>
  <dimension ref="A1:AF17"/>
  <sheetViews>
    <sheetView tabSelected="1" workbookViewId="0"/>
  </sheetViews>
  <sheetFormatPr defaultColWidth="9.15234375" defaultRowHeight="14.6" x14ac:dyDescent="0.4"/>
  <cols>
    <col min="1" max="1" width="13.53515625" style="1" customWidth="1"/>
    <col min="2" max="2" width="9.69140625" style="1" hidden="1" customWidth="1"/>
    <col min="3" max="3" width="9.69140625" style="1" customWidth="1"/>
    <col min="4" max="4" width="10.53515625" style="1" hidden="1" customWidth="1"/>
    <col min="5" max="5" width="10.53515625" style="1" customWidth="1"/>
    <col min="6" max="6" width="10.53515625" style="1" hidden="1" customWidth="1"/>
    <col min="7" max="7" width="10.53515625" style="1" customWidth="1"/>
    <col min="8" max="8" width="10.15234375" style="1" hidden="1" customWidth="1"/>
    <col min="9" max="9" width="8.53515625" style="1" hidden="1" customWidth="1"/>
    <col min="10" max="11" width="13" style="1" hidden="1" customWidth="1"/>
    <col min="12" max="13" width="13.53515625" style="1" hidden="1" customWidth="1"/>
    <col min="14" max="15" width="12" style="1" hidden="1" customWidth="1"/>
    <col min="16" max="16" width="13" style="1" hidden="1" customWidth="1"/>
    <col min="17" max="17" width="12.3046875" style="1" hidden="1" customWidth="1"/>
    <col min="18" max="18" width="12.53515625" style="1" hidden="1" customWidth="1"/>
    <col min="19" max="19" width="9.15234375" style="1" customWidth="1"/>
    <col min="20" max="23" width="11.3828125" style="1" customWidth="1"/>
    <col min="24" max="24" width="12.15234375" style="1" customWidth="1"/>
    <col min="25" max="25" width="9.69140625" style="1" customWidth="1"/>
    <col min="26" max="26" width="11" style="1" customWidth="1"/>
    <col min="27" max="27" width="12.53515625" style="1" customWidth="1"/>
    <col min="28" max="28" width="12.3046875" style="1" customWidth="1"/>
    <col min="29" max="29" width="11.3828125" style="1" customWidth="1"/>
    <col min="30" max="16384" width="9.15234375" style="1"/>
  </cols>
  <sheetData>
    <row r="1" spans="1:32" s="2" customFormat="1" ht="38.25" customHeight="1" thickBot="1" x14ac:dyDescent="0.45">
      <c r="A1" s="50"/>
      <c r="B1" s="19" t="s">
        <v>32</v>
      </c>
      <c r="C1" s="19" t="s">
        <v>57</v>
      </c>
      <c r="D1" s="19" t="s">
        <v>29</v>
      </c>
      <c r="E1" s="19" t="s">
        <v>14</v>
      </c>
      <c r="F1" s="19" t="s">
        <v>13</v>
      </c>
      <c r="G1" s="19" t="s">
        <v>18</v>
      </c>
      <c r="H1" s="19" t="s">
        <v>19</v>
      </c>
      <c r="I1" s="19" t="s">
        <v>21</v>
      </c>
      <c r="J1" s="19" t="s">
        <v>22</v>
      </c>
      <c r="K1" s="19" t="s">
        <v>23</v>
      </c>
      <c r="L1" s="19" t="s">
        <v>24</v>
      </c>
      <c r="M1" s="19" t="s">
        <v>25</v>
      </c>
      <c r="N1" s="19" t="s">
        <v>20</v>
      </c>
      <c r="O1" s="19" t="s">
        <v>33</v>
      </c>
      <c r="P1" s="19" t="s">
        <v>26</v>
      </c>
      <c r="Q1" s="19" t="s">
        <v>27</v>
      </c>
      <c r="R1" s="19" t="s">
        <v>34</v>
      </c>
      <c r="S1" s="19" t="s">
        <v>44</v>
      </c>
      <c r="T1" s="19" t="s">
        <v>59</v>
      </c>
      <c r="U1" s="19" t="s">
        <v>58</v>
      </c>
      <c r="V1" s="19" t="s">
        <v>51</v>
      </c>
      <c r="W1" s="19" t="s">
        <v>52</v>
      </c>
      <c r="X1" s="19" t="s">
        <v>53</v>
      </c>
      <c r="Y1" s="19" t="s">
        <v>54</v>
      </c>
      <c r="Z1" s="19" t="s">
        <v>55</v>
      </c>
      <c r="AA1" s="73" t="s">
        <v>60</v>
      </c>
      <c r="AB1" s="20" t="s">
        <v>61</v>
      </c>
      <c r="AC1" s="73" t="s">
        <v>62</v>
      </c>
      <c r="AD1" s="73" t="s">
        <v>63</v>
      </c>
      <c r="AE1" s="47"/>
      <c r="AF1" s="47"/>
    </row>
    <row r="2" spans="1:32" x14ac:dyDescent="0.4">
      <c r="A2" s="51" t="s">
        <v>0</v>
      </c>
      <c r="B2" s="3">
        <v>6</v>
      </c>
      <c r="C2" s="3">
        <v>291.14999999999998</v>
      </c>
      <c r="D2" s="3">
        <v>70</v>
      </c>
      <c r="E2" s="3">
        <f>294.261</f>
        <v>294.26100000000002</v>
      </c>
      <c r="F2" s="3">
        <v>42</v>
      </c>
      <c r="G2" s="52">
        <f>(F2-32)*(5/9)+273.15</f>
        <v>278.70555555555552</v>
      </c>
      <c r="H2" s="52">
        <f>(($G2-$G$15)/($G$16-$G$15))*(H$16-H$15)+H$15</f>
        <v>1.260759877777778</v>
      </c>
      <c r="I2" s="52">
        <f t="shared" ref="I2:N2" si="0">(($G2-$G$15)/($G$16-$G$15))*(I$16-I$15)+I$15</f>
        <v>1.0065741111111111</v>
      </c>
      <c r="J2" s="53">
        <f t="shared" si="0"/>
        <v>1.7395277777777775E-5</v>
      </c>
      <c r="K2" s="53">
        <f t="shared" si="0"/>
        <v>1.3994794444444439E-5</v>
      </c>
      <c r="L2" s="53">
        <f t="shared" si="0"/>
        <v>2.4596444444444442E-2</v>
      </c>
      <c r="M2" s="53">
        <f t="shared" si="0"/>
        <v>1.9689133333333328E-5</v>
      </c>
      <c r="N2" s="52">
        <f t="shared" si="0"/>
        <v>0.71253655555555551</v>
      </c>
      <c r="O2" s="52">
        <f>(B2*2.25)/K2</f>
        <v>964644.39357014932</v>
      </c>
      <c r="P2" s="3" t="str">
        <f>IF(O2&gt;(5*10^5),"Turbulent","Laminar")</f>
        <v>Turbulent</v>
      </c>
      <c r="Q2" s="3">
        <f>(0.037*(O2^(4/5))-871)*(N2^(1/3))</f>
        <v>1248.0078087029287</v>
      </c>
      <c r="R2" s="54">
        <f>(L2/2.25)*Q2</f>
        <v>13.642913214664192</v>
      </c>
      <c r="S2" s="55" t="s">
        <v>16</v>
      </c>
      <c r="T2" s="56">
        <v>0.25993400356175678</v>
      </c>
      <c r="U2" s="56">
        <v>13.642913214664192</v>
      </c>
      <c r="V2" s="11">
        <v>3.9137071290656494E-2</v>
      </c>
      <c r="W2" s="11">
        <v>0.20705804863099331</v>
      </c>
      <c r="X2" s="11">
        <v>397.43506428795831</v>
      </c>
      <c r="Y2" s="11">
        <v>15.74437710368734</v>
      </c>
      <c r="Z2" s="57">
        <f>22.5</f>
        <v>22.5</v>
      </c>
      <c r="AA2" s="70">
        <f>(X2+Y2)-Z2</f>
        <v>390.67944139164564</v>
      </c>
      <c r="AB2" s="63">
        <v>466.89004165802197</v>
      </c>
      <c r="AC2" s="74">
        <f>ABS(AA2-AB2)</f>
        <v>76.210600266376332</v>
      </c>
      <c r="AD2" s="78">
        <f>AC2/AB2</f>
        <v>0.16323029721460092</v>
      </c>
    </row>
    <row r="3" spans="1:32" x14ac:dyDescent="0.4">
      <c r="A3" s="48" t="s">
        <v>1</v>
      </c>
      <c r="B3" s="5">
        <v>6</v>
      </c>
      <c r="C3" s="5">
        <v>291.14999999999998</v>
      </c>
      <c r="D3" s="5">
        <v>70</v>
      </c>
      <c r="E3" s="5">
        <f t="shared" ref="E3:E13" si="1">294.261</f>
        <v>294.26100000000002</v>
      </c>
      <c r="F3" s="5">
        <v>46</v>
      </c>
      <c r="G3" s="11">
        <f t="shared" ref="G3:G13" si="2">(F3-32)*(5/9)+273.15</f>
        <v>280.92777777777775</v>
      </c>
      <c r="H3" s="11">
        <f>(($G3-$G$15)/($G$16-$G$15))*(H$16-H$15)+H$15</f>
        <v>1.2503909888888891</v>
      </c>
      <c r="I3" s="11">
        <f t="shared" ref="I3:N6" si="3">(($G3-$G$15)/($G$16-$G$15))*(I$16-I$15)+I$15</f>
        <v>1.0066185555555556</v>
      </c>
      <c r="J3" s="12">
        <f t="shared" si="3"/>
        <v>1.7506388888888887E-5</v>
      </c>
      <c r="K3" s="12">
        <f t="shared" si="3"/>
        <v>1.4192572222222218E-5</v>
      </c>
      <c r="L3" s="12">
        <f t="shared" si="3"/>
        <v>2.4774222222222222E-2</v>
      </c>
      <c r="M3" s="12">
        <f t="shared" si="3"/>
        <v>1.998246666666666E-5</v>
      </c>
      <c r="N3" s="11">
        <f t="shared" si="3"/>
        <v>0.71195877777777772</v>
      </c>
      <c r="O3" s="11">
        <f t="shared" ref="O3:O13" si="4">(B3*2.25)/K3</f>
        <v>951201.78277917707</v>
      </c>
      <c r="P3" s="5" t="str">
        <f t="shared" ref="P3:P13" si="5">IF(O3&gt;(5*10^5),"Turbulent","Laminar")</f>
        <v>Turbulent</v>
      </c>
      <c r="Q3" s="5">
        <f t="shared" ref="Q3:Q13" si="6">(0.037*(O3^(4/5))-871)*(N3^(1/3))</f>
        <v>1225.0589450680573</v>
      </c>
      <c r="R3" s="13">
        <f t="shared" ref="R3:R13" si="7">(L3/2.25)*Q3</f>
        <v>13.488836684638745</v>
      </c>
      <c r="S3" s="58" t="s">
        <v>16</v>
      </c>
      <c r="T3" s="23">
        <v>0.25357902760952838</v>
      </c>
      <c r="U3" s="23">
        <v>13.488836684638745</v>
      </c>
      <c r="V3" s="11">
        <v>3.9824399811745362E-2</v>
      </c>
      <c r="W3" s="11">
        <v>0.21061894252054425</v>
      </c>
      <c r="X3" s="11">
        <v>334.77522034846049</v>
      </c>
      <c r="Y3" s="11">
        <v>15.478189952843406</v>
      </c>
      <c r="Z3" s="59">
        <f t="shared" ref="Z3:Z13" si="8">22.5</f>
        <v>22.5</v>
      </c>
      <c r="AA3" s="71">
        <f>(X3+Y3)-Z3</f>
        <v>327.75341030130392</v>
      </c>
      <c r="AB3" s="64">
        <v>391.03456169876046</v>
      </c>
      <c r="AC3" s="75">
        <f t="shared" ref="AC3:AC13" si="9">ABS(AA3-AB3)</f>
        <v>63.28115139745654</v>
      </c>
      <c r="AD3" s="79">
        <f t="shared" ref="AD3:AD13" si="10">AC3/AB3</f>
        <v>0.16183007231520921</v>
      </c>
    </row>
    <row r="4" spans="1:32" x14ac:dyDescent="0.4">
      <c r="A4" s="48" t="s">
        <v>2</v>
      </c>
      <c r="B4" s="5">
        <v>7</v>
      </c>
      <c r="C4" s="5">
        <v>291.14999999999998</v>
      </c>
      <c r="D4" s="5">
        <v>70</v>
      </c>
      <c r="E4" s="5">
        <f t="shared" si="1"/>
        <v>294.26100000000002</v>
      </c>
      <c r="F4" s="5">
        <v>55</v>
      </c>
      <c r="G4" s="11">
        <f t="shared" si="2"/>
        <v>285.92777777777775</v>
      </c>
      <c r="H4" s="11">
        <f>(($G4-$G$15)/($G$16-$G$15))*(H$16-H$15)+H$15</f>
        <v>1.227060988888889</v>
      </c>
      <c r="I4" s="11">
        <f t="shared" si="3"/>
        <v>1.0067185555555556</v>
      </c>
      <c r="J4" s="12">
        <f t="shared" si="3"/>
        <v>1.7756388888888886E-5</v>
      </c>
      <c r="K4" s="12">
        <f t="shared" si="3"/>
        <v>1.4637572222222218E-5</v>
      </c>
      <c r="L4" s="12">
        <f t="shared" si="3"/>
        <v>2.5174222222222219E-2</v>
      </c>
      <c r="M4" s="12">
        <f t="shared" si="3"/>
        <v>2.0642466666666661E-5</v>
      </c>
      <c r="N4" s="11">
        <f t="shared" si="3"/>
        <v>0.71065877777777775</v>
      </c>
      <c r="O4" s="11">
        <f t="shared" si="4"/>
        <v>1075998.1068505975</v>
      </c>
      <c r="P4" s="5" t="str">
        <f t="shared" si="5"/>
        <v>Turbulent</v>
      </c>
      <c r="Q4" s="5">
        <f t="shared" si="6"/>
        <v>1431.7754584270342</v>
      </c>
      <c r="R4" s="13">
        <f t="shared" si="7"/>
        <v>16.019481583451668</v>
      </c>
      <c r="S4" s="58" t="s">
        <v>16</v>
      </c>
      <c r="T4" s="23">
        <v>0.23543995631649883</v>
      </c>
      <c r="U4" s="23">
        <v>16.019481583451668</v>
      </c>
      <c r="V4" s="11">
        <v>4.1896944128149281E-2</v>
      </c>
      <c r="W4" s="11">
        <v>0.22183854937587652</v>
      </c>
      <c r="X4" s="11">
        <v>198.87422330222111</v>
      </c>
      <c r="Y4" s="11">
        <v>14.695371968360403</v>
      </c>
      <c r="Z4" s="59">
        <f t="shared" si="8"/>
        <v>22.5</v>
      </c>
      <c r="AA4" s="71">
        <f>(X4+Y4)-Z4</f>
        <v>191.06959527058152</v>
      </c>
      <c r="AB4" s="64">
        <v>227.40249850358992</v>
      </c>
      <c r="AC4" s="75">
        <f t="shared" si="9"/>
        <v>36.332903233008409</v>
      </c>
      <c r="AD4" s="79">
        <f t="shared" si="10"/>
        <v>0.15977354458326162</v>
      </c>
    </row>
    <row r="5" spans="1:32" x14ac:dyDescent="0.4">
      <c r="A5" s="48" t="s">
        <v>3</v>
      </c>
      <c r="B5" s="5">
        <v>6</v>
      </c>
      <c r="C5" s="5">
        <v>291.14999999999998</v>
      </c>
      <c r="D5" s="5">
        <v>70</v>
      </c>
      <c r="E5" s="5">
        <f t="shared" si="1"/>
        <v>294.26100000000002</v>
      </c>
      <c r="F5" s="5">
        <v>66</v>
      </c>
      <c r="G5" s="11">
        <f t="shared" si="2"/>
        <v>292.03888888888889</v>
      </c>
      <c r="H5" s="11">
        <f>(($G5-$G$15)/($G$16-$G$15))*(H$16-H$15)+H$15</f>
        <v>1.1985465444444445</v>
      </c>
      <c r="I5" s="11">
        <f t="shared" si="3"/>
        <v>1.0068407777777777</v>
      </c>
      <c r="J5" s="12">
        <f t="shared" si="3"/>
        <v>1.8061944444444443E-5</v>
      </c>
      <c r="K5" s="12">
        <f t="shared" si="3"/>
        <v>1.5181461111111111E-5</v>
      </c>
      <c r="L5" s="12">
        <f t="shared" si="3"/>
        <v>2.5663111111111112E-2</v>
      </c>
      <c r="M5" s="12">
        <f t="shared" si="3"/>
        <v>2.1449133333333331E-5</v>
      </c>
      <c r="N5" s="11">
        <f t="shared" si="3"/>
        <v>0.70906988888888889</v>
      </c>
      <c r="O5" s="11">
        <f t="shared" si="4"/>
        <v>889242.47153783694</v>
      </c>
      <c r="P5" s="5" t="str">
        <f t="shared" si="5"/>
        <v>Turbulent</v>
      </c>
      <c r="Q5" s="5">
        <f t="shared" si="6"/>
        <v>1118.4771180360206</v>
      </c>
      <c r="R5" s="13">
        <f t="shared" si="7"/>
        <v>12.757156691286104</v>
      </c>
      <c r="S5" s="58" t="s">
        <v>16</v>
      </c>
      <c r="T5" s="23">
        <v>0.19137794643216863</v>
      </c>
      <c r="U5" s="23">
        <v>12.757156691286104</v>
      </c>
      <c r="V5" s="11">
        <v>4.891617458964824E-2</v>
      </c>
      <c r="W5" s="11">
        <v>0.2579358533510695</v>
      </c>
      <c r="X5" s="11">
        <v>45.406476073481358</v>
      </c>
      <c r="Y5" s="11">
        <v>12.638801305233411</v>
      </c>
      <c r="Z5" s="59">
        <f t="shared" si="8"/>
        <v>22.5</v>
      </c>
      <c r="AA5" s="71">
        <f>(X5+Y5)-Z5</f>
        <v>35.545277378714772</v>
      </c>
      <c r="AB5" s="64">
        <v>43.788422206674284</v>
      </c>
      <c r="AC5" s="75">
        <f t="shared" si="9"/>
        <v>8.2431448279595116</v>
      </c>
      <c r="AD5" s="79">
        <f t="shared" si="10"/>
        <v>0.18824941417284227</v>
      </c>
    </row>
    <row r="6" spans="1:32" x14ac:dyDescent="0.4">
      <c r="A6" s="48" t="s">
        <v>4</v>
      </c>
      <c r="B6" s="5">
        <v>5</v>
      </c>
      <c r="C6" s="5">
        <v>291.14999999999998</v>
      </c>
      <c r="D6" s="5">
        <v>70</v>
      </c>
      <c r="E6" s="5">
        <f t="shared" si="1"/>
        <v>294.26100000000002</v>
      </c>
      <c r="F6" s="5">
        <v>76</v>
      </c>
      <c r="G6" s="11">
        <f t="shared" si="2"/>
        <v>297.59444444444443</v>
      </c>
      <c r="H6" s="11">
        <f>(($G6-$G$15)/($G$16-$G$15))*(H$16-H$15)+H$15</f>
        <v>1.1726243222222223</v>
      </c>
      <c r="I6" s="11">
        <f t="shared" si="3"/>
        <v>1.0069518888888889</v>
      </c>
      <c r="J6" s="12">
        <f t="shared" si="3"/>
        <v>1.8339722222222221E-5</v>
      </c>
      <c r="K6" s="12">
        <f t="shared" si="3"/>
        <v>1.5675905555555551E-5</v>
      </c>
      <c r="L6" s="12">
        <f t="shared" si="3"/>
        <v>2.6107555555555554E-2</v>
      </c>
      <c r="M6" s="12">
        <f t="shared" si="3"/>
        <v>2.2182466666666663E-5</v>
      </c>
      <c r="N6" s="11">
        <f t="shared" si="3"/>
        <v>0.70762544444444442</v>
      </c>
      <c r="O6" s="11">
        <f t="shared" si="4"/>
        <v>717661.8894602228</v>
      </c>
      <c r="P6" s="5" t="str">
        <f t="shared" si="5"/>
        <v>Turbulent</v>
      </c>
      <c r="Q6" s="5">
        <f t="shared" si="6"/>
        <v>819.24680910577638</v>
      </c>
      <c r="R6" s="13">
        <f t="shared" si="7"/>
        <v>9.5060140366403001</v>
      </c>
      <c r="S6" s="60" t="s">
        <v>17</v>
      </c>
      <c r="T6" s="23">
        <v>0.20355602478240764</v>
      </c>
      <c r="U6" s="23">
        <v>9.5060140366403001</v>
      </c>
      <c r="V6" s="11">
        <v>4.6879946781046483E-2</v>
      </c>
      <c r="W6" s="11">
        <v>0.24639848730447778</v>
      </c>
      <c r="X6" s="11">
        <v>71.127308655404789</v>
      </c>
      <c r="Y6" s="11">
        <v>13.230600705642997</v>
      </c>
      <c r="Z6" s="59">
        <f t="shared" si="8"/>
        <v>22.5</v>
      </c>
      <c r="AA6" s="71">
        <f>((X6+Y6)+Z6)*-1</f>
        <v>-106.85790936104779</v>
      </c>
      <c r="AB6" s="64">
        <v>-119.45290978561195</v>
      </c>
      <c r="AC6" s="76">
        <f t="shared" si="9"/>
        <v>12.595000424564162</v>
      </c>
      <c r="AD6" s="80">
        <f>AC6/-AB6</f>
        <v>0.10543904244081649</v>
      </c>
    </row>
    <row r="7" spans="1:32" x14ac:dyDescent="0.4">
      <c r="A7" s="48" t="s">
        <v>5</v>
      </c>
      <c r="B7" s="5">
        <v>5</v>
      </c>
      <c r="C7" s="5">
        <v>291.14999999999998</v>
      </c>
      <c r="D7" s="5">
        <v>70</v>
      </c>
      <c r="E7" s="5">
        <f t="shared" si="1"/>
        <v>294.26100000000002</v>
      </c>
      <c r="F7" s="5">
        <v>84</v>
      </c>
      <c r="G7" s="11">
        <f t="shared" si="2"/>
        <v>302.03888888888889</v>
      </c>
      <c r="H7" s="11">
        <f>(($G7-$G$16)/($G$17-$G$16))*(H$17-H$16)+H$16</f>
        <v>1.1546145777777777</v>
      </c>
      <c r="I7" s="11">
        <f t="shared" ref="I7:N7" si="11">(($G7-$G$16)/($G$17-$G$16))*(I$17-I$16)+I$16</f>
        <v>1.0070815555555555</v>
      </c>
      <c r="J7" s="12">
        <f t="shared" si="11"/>
        <v>1.8556235555555553E-5</v>
      </c>
      <c r="K7" s="12">
        <f t="shared" si="11"/>
        <v>1.6095112222222222E-5</v>
      </c>
      <c r="L7" s="12">
        <f t="shared" si="11"/>
        <v>2.6450877777777777E-2</v>
      </c>
      <c r="M7" s="12">
        <f t="shared" si="11"/>
        <v>2.2801755555555553E-5</v>
      </c>
      <c r="N7" s="11">
        <f t="shared" si="11"/>
        <v>0.70671455555555551</v>
      </c>
      <c r="O7" s="11">
        <f t="shared" si="4"/>
        <v>698969.96334497968</v>
      </c>
      <c r="P7" s="5" t="str">
        <f t="shared" si="5"/>
        <v>Turbulent</v>
      </c>
      <c r="Q7" s="5">
        <f t="shared" si="6"/>
        <v>785.57924511443889</v>
      </c>
      <c r="R7" s="13">
        <f t="shared" si="7"/>
        <v>9.235226932124867</v>
      </c>
      <c r="S7" s="60" t="s">
        <v>17</v>
      </c>
      <c r="T7" s="23">
        <v>0.23194885386294034</v>
      </c>
      <c r="U7" s="23">
        <v>9.235226932124867</v>
      </c>
      <c r="V7" s="11">
        <v>4.2647268853929943E-2</v>
      </c>
      <c r="W7" s="11">
        <v>0.22419897365427749</v>
      </c>
      <c r="X7" s="11">
        <v>182.40063427114575</v>
      </c>
      <c r="Y7" s="11">
        <v>14.540655324439722</v>
      </c>
      <c r="Z7" s="59">
        <f t="shared" si="8"/>
        <v>22.5</v>
      </c>
      <c r="AA7" s="71">
        <f>((X7+Y7)+Z7)*-1</f>
        <v>-219.44128959558546</v>
      </c>
      <c r="AB7" s="64">
        <v>-252.27536147381778</v>
      </c>
      <c r="AC7" s="76">
        <f t="shared" si="9"/>
        <v>32.834071878232322</v>
      </c>
      <c r="AD7" s="80">
        <f t="shared" ref="AD7:AD10" si="12">AC7/-AB7</f>
        <v>0.13015171868712191</v>
      </c>
    </row>
    <row r="8" spans="1:32" x14ac:dyDescent="0.4">
      <c r="A8" s="48" t="s">
        <v>6</v>
      </c>
      <c r="B8" s="5">
        <v>5</v>
      </c>
      <c r="C8" s="5">
        <v>291.14999999999998</v>
      </c>
      <c r="D8" s="5">
        <v>70</v>
      </c>
      <c r="E8" s="5">
        <f t="shared" si="1"/>
        <v>294.26100000000002</v>
      </c>
      <c r="F8" s="5">
        <v>88</v>
      </c>
      <c r="G8" s="11">
        <f t="shared" si="2"/>
        <v>304.26111111111106</v>
      </c>
      <c r="H8" s="11">
        <f t="shared" ref="H8:N9" si="13">(($G8-$G$16)/($G$17-$G$16))*(H$17-H$16)+H$16</f>
        <v>1.1472190222222223</v>
      </c>
      <c r="I8" s="11">
        <f t="shared" si="13"/>
        <v>1.0071704444444443</v>
      </c>
      <c r="J8" s="12">
        <f t="shared" si="13"/>
        <v>1.8661124444444441E-5</v>
      </c>
      <c r="K8" s="12">
        <f t="shared" si="13"/>
        <v>1.6318667777777772E-5</v>
      </c>
      <c r="L8" s="12">
        <f t="shared" si="13"/>
        <v>2.661532222222222E-2</v>
      </c>
      <c r="M8" s="12">
        <f t="shared" si="13"/>
        <v>2.3130644444444434E-5</v>
      </c>
      <c r="N8" s="11">
        <f t="shared" si="13"/>
        <v>0.70640344444444436</v>
      </c>
      <c r="O8" s="11">
        <f t="shared" si="4"/>
        <v>689394.51143921702</v>
      </c>
      <c r="P8" s="5" t="str">
        <f t="shared" si="5"/>
        <v>Turbulent</v>
      </c>
      <c r="Q8" s="5">
        <f t="shared" si="6"/>
        <v>768.33063734623011</v>
      </c>
      <c r="R8" s="13">
        <f t="shared" si="7"/>
        <v>9.0886077716334572</v>
      </c>
      <c r="S8" s="60" t="s">
        <v>17</v>
      </c>
      <c r="T8" s="23">
        <v>0.24097102571067563</v>
      </c>
      <c r="U8" s="23">
        <v>9.0886077716334572</v>
      </c>
      <c r="V8" s="11">
        <v>4.151702961240622E-2</v>
      </c>
      <c r="W8" s="11">
        <v>0.21823867014868362</v>
      </c>
      <c r="X8" s="11">
        <v>240.89177873463558</v>
      </c>
      <c r="Y8" s="11">
        <v>14.937774308187402</v>
      </c>
      <c r="Z8" s="59">
        <f t="shared" si="8"/>
        <v>22.5</v>
      </c>
      <c r="AA8" s="71">
        <f>((X8+Y8)+Z8)*-1</f>
        <v>-278.32955304282302</v>
      </c>
      <c r="AB8" s="64">
        <v>-322.34983270656198</v>
      </c>
      <c r="AC8" s="76">
        <f t="shared" si="9"/>
        <v>44.020279663738961</v>
      </c>
      <c r="AD8" s="80">
        <f t="shared" si="12"/>
        <v>0.13656057859291965</v>
      </c>
    </row>
    <row r="9" spans="1:32" x14ac:dyDescent="0.4">
      <c r="A9" s="48" t="s">
        <v>7</v>
      </c>
      <c r="B9" s="5">
        <v>5</v>
      </c>
      <c r="C9" s="5">
        <v>291.14999999999998</v>
      </c>
      <c r="D9" s="5">
        <v>70</v>
      </c>
      <c r="E9" s="5">
        <f t="shared" si="1"/>
        <v>294.26100000000002</v>
      </c>
      <c r="F9" s="5">
        <v>86</v>
      </c>
      <c r="G9" s="11">
        <f t="shared" si="2"/>
        <v>303.14999999999998</v>
      </c>
      <c r="H9" s="11">
        <f t="shared" si="13"/>
        <v>1.1509168000000001</v>
      </c>
      <c r="I9" s="11">
        <f t="shared" si="13"/>
        <v>1.007126</v>
      </c>
      <c r="J9" s="12">
        <f t="shared" si="13"/>
        <v>1.8608679999999999E-5</v>
      </c>
      <c r="K9" s="12">
        <f t="shared" si="13"/>
        <v>1.6206889999999995E-5</v>
      </c>
      <c r="L9" s="12">
        <f t="shared" si="13"/>
        <v>2.6533099999999997E-2</v>
      </c>
      <c r="M9" s="12">
        <f t="shared" si="13"/>
        <v>2.2966199999999994E-5</v>
      </c>
      <c r="N9" s="11">
        <f t="shared" si="13"/>
        <v>0.70655899999999994</v>
      </c>
      <c r="O9" s="11">
        <f t="shared" si="4"/>
        <v>694149.21678372612</v>
      </c>
      <c r="P9" s="5" t="str">
        <f t="shared" si="5"/>
        <v>Turbulent</v>
      </c>
      <c r="Q9" s="5">
        <f t="shared" si="6"/>
        <v>776.9011374030631</v>
      </c>
      <c r="R9" s="13">
        <f t="shared" si="7"/>
        <v>9.1615980305907616</v>
      </c>
      <c r="S9" s="60" t="s">
        <v>17</v>
      </c>
      <c r="T9" s="23">
        <v>0.23670401249327039</v>
      </c>
      <c r="U9" s="23">
        <v>9.1615980305907616</v>
      </c>
      <c r="V9" s="11">
        <v>4.2040402774206731E-2</v>
      </c>
      <c r="W9" s="11">
        <v>0.2210010332595243</v>
      </c>
      <c r="X9" s="11">
        <v>211.46324519645933</v>
      </c>
      <c r="Y9" s="11">
        <v>14.75106225486164</v>
      </c>
      <c r="Z9" s="59">
        <f t="shared" si="8"/>
        <v>22.5</v>
      </c>
      <c r="AA9" s="71">
        <f>((X9+Y9)+Z9)*-1</f>
        <v>-248.71430745132096</v>
      </c>
      <c r="AB9" s="64">
        <v>-287.06905447472383</v>
      </c>
      <c r="AC9" s="76">
        <f t="shared" si="9"/>
        <v>38.354747023402865</v>
      </c>
      <c r="AD9" s="80">
        <f t="shared" si="12"/>
        <v>0.13360808636648075</v>
      </c>
    </row>
    <row r="10" spans="1:32" x14ac:dyDescent="0.4">
      <c r="A10" s="48" t="s">
        <v>8</v>
      </c>
      <c r="B10" s="5">
        <v>5</v>
      </c>
      <c r="C10" s="5">
        <v>291.14999999999998</v>
      </c>
      <c r="D10" s="5">
        <v>70</v>
      </c>
      <c r="E10" s="5">
        <f t="shared" si="1"/>
        <v>294.26100000000002</v>
      </c>
      <c r="F10" s="5">
        <v>79</v>
      </c>
      <c r="G10" s="11">
        <f t="shared" si="2"/>
        <v>299.26111111111106</v>
      </c>
      <c r="H10" s="11">
        <f t="shared" ref="H10:N13" si="14">(($G10-$G$15)/($G$16-$G$15))*(H$16-H$15)+H$15</f>
        <v>1.1648476555555558</v>
      </c>
      <c r="I10" s="11">
        <f t="shared" si="14"/>
        <v>1.0069852222222222</v>
      </c>
      <c r="J10" s="12">
        <f t="shared" si="14"/>
        <v>1.8423055555555554E-5</v>
      </c>
      <c r="K10" s="12">
        <f t="shared" si="14"/>
        <v>1.5824238888888885E-5</v>
      </c>
      <c r="L10" s="12">
        <f t="shared" si="14"/>
        <v>2.6240888888888887E-2</v>
      </c>
      <c r="M10" s="12">
        <f t="shared" si="14"/>
        <v>2.2402466666666658E-5</v>
      </c>
      <c r="N10" s="11">
        <f t="shared" si="14"/>
        <v>0.70719211111111113</v>
      </c>
      <c r="O10" s="11">
        <f t="shared" si="4"/>
        <v>710934.66668398678</v>
      </c>
      <c r="P10" s="5" t="str">
        <f t="shared" si="5"/>
        <v>Turbulent</v>
      </c>
      <c r="Q10" s="5">
        <f t="shared" si="6"/>
        <v>807.1066889467362</v>
      </c>
      <c r="R10" s="13">
        <f t="shared" si="7"/>
        <v>9.4129764205023605</v>
      </c>
      <c r="S10" s="60" t="s">
        <v>17</v>
      </c>
      <c r="T10" s="23">
        <v>0.21676014174002908</v>
      </c>
      <c r="U10" s="23">
        <v>9.4129764205023605</v>
      </c>
      <c r="V10" s="11">
        <v>4.4770426007447003E-2</v>
      </c>
      <c r="W10" s="11">
        <v>0.23535214272801785</v>
      </c>
      <c r="X10" s="11">
        <v>111.70568513864933</v>
      </c>
      <c r="Y10" s="11">
        <v>13.851584108020527</v>
      </c>
      <c r="Z10" s="59">
        <f t="shared" si="8"/>
        <v>22.5</v>
      </c>
      <c r="AA10" s="71">
        <f>((X10+Y10)+Z10)*-1</f>
        <v>-148.05726924666988</v>
      </c>
      <c r="AB10" s="64">
        <v>-167.83400484093323</v>
      </c>
      <c r="AC10" s="76">
        <f t="shared" si="9"/>
        <v>19.776735594263357</v>
      </c>
      <c r="AD10" s="80">
        <f t="shared" si="12"/>
        <v>0.11783509315056269</v>
      </c>
    </row>
    <row r="11" spans="1:32" x14ac:dyDescent="0.4">
      <c r="A11" s="48" t="s">
        <v>9</v>
      </c>
      <c r="B11" s="5">
        <v>5</v>
      </c>
      <c r="C11" s="5">
        <v>291.14999999999998</v>
      </c>
      <c r="D11" s="5">
        <v>70</v>
      </c>
      <c r="E11" s="5">
        <f t="shared" si="1"/>
        <v>294.26100000000002</v>
      </c>
      <c r="F11" s="5">
        <v>68</v>
      </c>
      <c r="G11" s="11">
        <f t="shared" si="2"/>
        <v>293.14999999999998</v>
      </c>
      <c r="H11" s="11">
        <f t="shared" si="14"/>
        <v>1.1933621000000001</v>
      </c>
      <c r="I11" s="11">
        <f t="shared" si="14"/>
        <v>1.0068629999999998</v>
      </c>
      <c r="J11" s="12">
        <f t="shared" si="14"/>
        <v>1.8117499999999997E-5</v>
      </c>
      <c r="K11" s="12">
        <f t="shared" si="14"/>
        <v>1.5280349999999997E-5</v>
      </c>
      <c r="L11" s="12">
        <f t="shared" si="14"/>
        <v>2.5751999999999997E-2</v>
      </c>
      <c r="M11" s="12">
        <f t="shared" si="14"/>
        <v>2.1595799999999994E-5</v>
      </c>
      <c r="N11" s="11">
        <f t="shared" si="14"/>
        <v>0.70878099999999999</v>
      </c>
      <c r="O11" s="11">
        <f t="shared" si="4"/>
        <v>736239.68037381361</v>
      </c>
      <c r="P11" s="5" t="str">
        <f t="shared" si="5"/>
        <v>Turbulent</v>
      </c>
      <c r="Q11" s="5">
        <f t="shared" si="6"/>
        <v>852.66549923058847</v>
      </c>
      <c r="R11" s="13">
        <f t="shared" si="7"/>
        <v>9.7590408605271612</v>
      </c>
      <c r="S11" s="58" t="s">
        <v>16</v>
      </c>
      <c r="T11" s="23">
        <v>0.17178250264037537</v>
      </c>
      <c r="U11" s="23">
        <v>9.7590408605271612</v>
      </c>
      <c r="V11" s="11">
        <v>5.3287668447080577E-2</v>
      </c>
      <c r="W11" s="11">
        <v>0.27992964692052608</v>
      </c>
      <c r="X11" s="11">
        <v>20.830335279208978</v>
      </c>
      <c r="Y11" s="11">
        <v>11.645783273986435</v>
      </c>
      <c r="Z11" s="59">
        <f t="shared" si="8"/>
        <v>22.5</v>
      </c>
      <c r="AA11" s="71">
        <f>(X11+Y11)-Z11</f>
        <v>9.9761185531954126</v>
      </c>
      <c r="AB11" s="64">
        <v>14.159985272397542</v>
      </c>
      <c r="AC11" s="75">
        <f t="shared" si="9"/>
        <v>4.183866719202129</v>
      </c>
      <c r="AD11" s="79">
        <f t="shared" si="10"/>
        <v>0.29547112081803206</v>
      </c>
    </row>
    <row r="12" spans="1:32" x14ac:dyDescent="0.4">
      <c r="A12" s="48" t="s">
        <v>10</v>
      </c>
      <c r="B12" s="5">
        <v>6</v>
      </c>
      <c r="C12" s="5">
        <v>291.14999999999998</v>
      </c>
      <c r="D12" s="5">
        <v>70</v>
      </c>
      <c r="E12" s="5">
        <f t="shared" si="1"/>
        <v>294.26100000000002</v>
      </c>
      <c r="F12" s="5">
        <v>57</v>
      </c>
      <c r="G12" s="11">
        <f t="shared" si="2"/>
        <v>287.03888888888889</v>
      </c>
      <c r="H12" s="11">
        <f t="shared" si="14"/>
        <v>1.2218765444444444</v>
      </c>
      <c r="I12" s="11">
        <f t="shared" si="14"/>
        <v>1.0067407777777777</v>
      </c>
      <c r="J12" s="12">
        <f t="shared" si="14"/>
        <v>1.7811944444444444E-5</v>
      </c>
      <c r="K12" s="12">
        <f t="shared" si="14"/>
        <v>1.4736461111111111E-5</v>
      </c>
      <c r="L12" s="12">
        <f t="shared" si="14"/>
        <v>2.5263111111111111E-2</v>
      </c>
      <c r="M12" s="12">
        <f t="shared" si="14"/>
        <v>2.0789133333333334E-5</v>
      </c>
      <c r="N12" s="11">
        <f t="shared" si="14"/>
        <v>0.71036988888888886</v>
      </c>
      <c r="O12" s="11">
        <f t="shared" si="4"/>
        <v>916095.11253832618</v>
      </c>
      <c r="P12" s="5" t="str">
        <f t="shared" si="5"/>
        <v>Turbulent</v>
      </c>
      <c r="Q12" s="5">
        <f t="shared" si="6"/>
        <v>1164.834516146791</v>
      </c>
      <c r="R12" s="13">
        <f t="shared" si="7"/>
        <v>13.078819469988325</v>
      </c>
      <c r="S12" s="58" t="s">
        <v>16</v>
      </c>
      <c r="T12" s="23">
        <v>0.2300941964068326</v>
      </c>
      <c r="U12" s="23">
        <v>13.078819469988325</v>
      </c>
      <c r="V12" s="11">
        <v>4.2686104575276808E-2</v>
      </c>
      <c r="W12" s="11">
        <v>0.22548204693023755</v>
      </c>
      <c r="X12" s="11">
        <v>169.16772291499905</v>
      </c>
      <c r="Y12" s="11">
        <v>14.457913809025383</v>
      </c>
      <c r="Z12" s="59">
        <f t="shared" si="8"/>
        <v>22.5</v>
      </c>
      <c r="AA12" s="71">
        <f>(X12+Y12)-Z12</f>
        <v>161.12563672402442</v>
      </c>
      <c r="AB12" s="64">
        <v>191.69190993103444</v>
      </c>
      <c r="AC12" s="75">
        <f t="shared" si="9"/>
        <v>30.566273207010028</v>
      </c>
      <c r="AD12" s="79">
        <f t="shared" si="10"/>
        <v>0.15945520714988412</v>
      </c>
    </row>
    <row r="13" spans="1:32" ht="15" thickBot="1" x14ac:dyDescent="0.45">
      <c r="A13" s="49" t="s">
        <v>11</v>
      </c>
      <c r="B13" s="7">
        <v>6</v>
      </c>
      <c r="C13" s="7">
        <v>291.14999999999998</v>
      </c>
      <c r="D13" s="7">
        <v>70</v>
      </c>
      <c r="E13" s="7">
        <f t="shared" si="1"/>
        <v>294.26100000000002</v>
      </c>
      <c r="F13" s="7">
        <v>46</v>
      </c>
      <c r="G13" s="15">
        <f t="shared" si="2"/>
        <v>280.92777777777775</v>
      </c>
      <c r="H13" s="15">
        <f t="shared" si="14"/>
        <v>1.2503909888888891</v>
      </c>
      <c r="I13" s="15">
        <f t="shared" si="14"/>
        <v>1.0066185555555556</v>
      </c>
      <c r="J13" s="16">
        <f t="shared" si="14"/>
        <v>1.7506388888888887E-5</v>
      </c>
      <c r="K13" s="16">
        <f t="shared" si="14"/>
        <v>1.4192572222222218E-5</v>
      </c>
      <c r="L13" s="16">
        <f t="shared" si="14"/>
        <v>2.4774222222222222E-2</v>
      </c>
      <c r="M13" s="16">
        <f t="shared" si="14"/>
        <v>1.998246666666666E-5</v>
      </c>
      <c r="N13" s="15">
        <f t="shared" si="14"/>
        <v>0.71195877777777772</v>
      </c>
      <c r="O13" s="15">
        <f t="shared" si="4"/>
        <v>951201.78277917707</v>
      </c>
      <c r="P13" s="7" t="str">
        <f t="shared" si="5"/>
        <v>Turbulent</v>
      </c>
      <c r="Q13" s="7">
        <f t="shared" si="6"/>
        <v>1225.0589450680573</v>
      </c>
      <c r="R13" s="17">
        <f t="shared" si="7"/>
        <v>13.488836684638745</v>
      </c>
      <c r="S13" s="61" t="s">
        <v>16</v>
      </c>
      <c r="T13" s="25">
        <v>0.25357902760952838</v>
      </c>
      <c r="U13" s="25">
        <v>13.488836684638745</v>
      </c>
      <c r="V13" s="15">
        <v>3.9824399811745362E-2</v>
      </c>
      <c r="W13" s="15">
        <v>0.21061894252054425</v>
      </c>
      <c r="X13" s="15">
        <v>334.77522034846049</v>
      </c>
      <c r="Y13" s="15">
        <v>15.478189952843406</v>
      </c>
      <c r="Z13" s="62">
        <f t="shared" si="8"/>
        <v>22.5</v>
      </c>
      <c r="AA13" s="72">
        <f>(X13+Y13)-Z13</f>
        <v>327.75341030130392</v>
      </c>
      <c r="AB13" s="65">
        <v>391.03456169876046</v>
      </c>
      <c r="AC13" s="77">
        <f t="shared" si="9"/>
        <v>63.28115139745654</v>
      </c>
      <c r="AD13" s="81">
        <f t="shared" si="10"/>
        <v>0.16183007231520921</v>
      </c>
    </row>
    <row r="15" spans="1:32" hidden="1" x14ac:dyDescent="0.4">
      <c r="F15" s="83" t="s">
        <v>31</v>
      </c>
      <c r="G15" s="3">
        <v>250</v>
      </c>
      <c r="H15" s="3">
        <v>1.3947000000000001</v>
      </c>
      <c r="I15" s="3">
        <v>1.006</v>
      </c>
      <c r="J15" s="3">
        <f>159.6*10^-7</f>
        <v>1.596E-5</v>
      </c>
      <c r="K15" s="3">
        <f>11.44*10^-6</f>
        <v>1.1439999999999999E-5</v>
      </c>
      <c r="L15" s="3">
        <f>22.3*10^-3</f>
        <v>2.23E-2</v>
      </c>
      <c r="M15" s="3">
        <f>15.9*10^-6</f>
        <v>1.59E-5</v>
      </c>
      <c r="N15" s="4">
        <v>0.72</v>
      </c>
      <c r="O15" s="5"/>
    </row>
    <row r="16" spans="1:32" hidden="1" x14ac:dyDescent="0.4">
      <c r="F16" s="84"/>
      <c r="G16" s="5">
        <v>300</v>
      </c>
      <c r="H16" s="5">
        <v>1.1614</v>
      </c>
      <c r="I16" s="5">
        <v>1.0069999999999999</v>
      </c>
      <c r="J16" s="5">
        <f>184.6*10^-7</f>
        <v>1.8459999999999999E-5</v>
      </c>
      <c r="K16" s="5">
        <f>15.89*10^-6</f>
        <v>1.5889999999999999E-5</v>
      </c>
      <c r="L16" s="5">
        <f>26.3*10^-3</f>
        <v>2.63E-2</v>
      </c>
      <c r="M16" s="5">
        <f>22.5*10^-6</f>
        <v>2.2499999999999998E-5</v>
      </c>
      <c r="N16" s="6">
        <v>0.70699999999999996</v>
      </c>
      <c r="O16" s="5"/>
    </row>
    <row r="17" spans="6:15" ht="15" hidden="1" thickBot="1" x14ac:dyDescent="0.45">
      <c r="F17" s="85"/>
      <c r="G17" s="7">
        <v>350</v>
      </c>
      <c r="H17" s="7">
        <v>0.995</v>
      </c>
      <c r="I17" s="7">
        <v>1.0089999999999999</v>
      </c>
      <c r="J17" s="7">
        <f>208.2*10^-7</f>
        <v>2.0819999999999997E-5</v>
      </c>
      <c r="K17" s="7">
        <f>20.92*10^-6</f>
        <v>2.092E-5</v>
      </c>
      <c r="L17" s="7">
        <f>30*10^-3</f>
        <v>0.03</v>
      </c>
      <c r="M17" s="7">
        <f>29.9*10^-6</f>
        <v>2.9899999999999998E-5</v>
      </c>
      <c r="N17" s="8">
        <v>0.7</v>
      </c>
      <c r="O17" s="5"/>
    </row>
  </sheetData>
  <mergeCells count="1">
    <mergeCell ref="F15:F17"/>
  </mergeCells>
  <pageMargins left="0.7" right="0.7" top="0.75" bottom="0.75" header="0.3" footer="0.3"/>
  <pageSetup scale="68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7DC3B-899D-4442-BBDD-5660ACD69E05}">
  <dimension ref="A1:M16"/>
  <sheetViews>
    <sheetView zoomScaleNormal="100" workbookViewId="0">
      <selection activeCell="I39" sqref="I39"/>
    </sheetView>
  </sheetViews>
  <sheetFormatPr defaultRowHeight="14.6" x14ac:dyDescent="0.4"/>
  <cols>
    <col min="1" max="13" width="12.3828125" customWidth="1"/>
  </cols>
  <sheetData>
    <row r="1" spans="1:13" x14ac:dyDescent="0.4">
      <c r="A1" s="67"/>
      <c r="B1" s="5" t="s">
        <v>0</v>
      </c>
      <c r="C1" s="5" t="s">
        <v>1</v>
      </c>
      <c r="D1" s="5" t="s">
        <v>2</v>
      </c>
      <c r="E1" s="5" t="s">
        <v>3</v>
      </c>
      <c r="F1" s="68" t="s">
        <v>4</v>
      </c>
      <c r="G1" s="68" t="s">
        <v>5</v>
      </c>
      <c r="H1" s="68" t="s">
        <v>6</v>
      </c>
      <c r="I1" s="68" t="s">
        <v>7</v>
      </c>
      <c r="J1" s="68" t="s">
        <v>8</v>
      </c>
      <c r="K1" s="5" t="s">
        <v>9</v>
      </c>
      <c r="L1" s="5" t="s">
        <v>10</v>
      </c>
      <c r="M1" s="5" t="s">
        <v>11</v>
      </c>
    </row>
    <row r="2" spans="1:13" x14ac:dyDescent="0.4">
      <c r="A2" s="82" t="s">
        <v>28</v>
      </c>
      <c r="B2" s="5">
        <v>0.25993400356175678</v>
      </c>
      <c r="C2" s="5">
        <v>0.25357902760952838</v>
      </c>
      <c r="D2" s="5">
        <v>0.23543995631649883</v>
      </c>
      <c r="E2" s="5">
        <v>0.19137794643216863</v>
      </c>
      <c r="F2" s="5">
        <v>0.20355602478240764</v>
      </c>
      <c r="G2" s="5">
        <v>0.23194885386294034</v>
      </c>
      <c r="H2" s="5">
        <v>0.24097102571067563</v>
      </c>
      <c r="I2" s="5">
        <v>0.23670401249327039</v>
      </c>
      <c r="J2" s="5">
        <v>0.21676014174002908</v>
      </c>
      <c r="K2" s="5">
        <v>0.17178250264037537</v>
      </c>
      <c r="L2" s="5">
        <v>0.2300941964068326</v>
      </c>
      <c r="M2" s="5">
        <v>0.25357902760952838</v>
      </c>
    </row>
    <row r="3" spans="1:13" x14ac:dyDescent="0.4">
      <c r="A3" s="82" t="s">
        <v>35</v>
      </c>
      <c r="B3" s="5">
        <v>13.642913214664192</v>
      </c>
      <c r="C3" s="5">
        <v>13.488836684638745</v>
      </c>
      <c r="D3" s="5">
        <v>16.019481583451668</v>
      </c>
      <c r="E3" s="5">
        <v>12.757156691286104</v>
      </c>
      <c r="F3" s="5">
        <v>9.5060140366403001</v>
      </c>
      <c r="G3" s="5">
        <v>9.235226932124867</v>
      </c>
      <c r="H3" s="5">
        <v>9.0886077716334572</v>
      </c>
      <c r="I3" s="5">
        <v>9.1615980305907616</v>
      </c>
      <c r="J3" s="5">
        <v>9.4129764205023605</v>
      </c>
      <c r="K3" s="5">
        <v>9.7590408605271612</v>
      </c>
      <c r="L3" s="5">
        <v>13.078819469988325</v>
      </c>
      <c r="M3" s="5">
        <v>13.488836684638745</v>
      </c>
    </row>
    <row r="4" spans="1:13" x14ac:dyDescent="0.4">
      <c r="A4" s="82" t="s">
        <v>36</v>
      </c>
      <c r="B4" s="67">
        <v>278.70555555555552</v>
      </c>
      <c r="C4" s="67">
        <v>280.92777777777775</v>
      </c>
      <c r="D4" s="67">
        <v>285.92777777777775</v>
      </c>
      <c r="E4" s="67">
        <v>292.03888888888889</v>
      </c>
      <c r="F4" s="67">
        <v>297.59444444444443</v>
      </c>
      <c r="G4" s="67">
        <v>302.03888888888889</v>
      </c>
      <c r="H4" s="67">
        <v>304.26111111111106</v>
      </c>
      <c r="I4" s="67">
        <v>303.14999999999998</v>
      </c>
      <c r="J4" s="67">
        <v>299.26111111111106</v>
      </c>
      <c r="K4" s="67">
        <v>293.14999999999998</v>
      </c>
      <c r="L4" s="67">
        <v>287.03888888888889</v>
      </c>
      <c r="M4" s="67">
        <v>280.92777777777775</v>
      </c>
    </row>
    <row r="5" spans="1:13" x14ac:dyDescent="0.4">
      <c r="A5" s="82" t="s">
        <v>47</v>
      </c>
      <c r="B5" s="67">
        <v>397.43506428795831</v>
      </c>
      <c r="C5" s="67">
        <v>334.77522034846049</v>
      </c>
      <c r="D5" s="67">
        <v>198.87422330222111</v>
      </c>
      <c r="E5" s="67">
        <v>45.406476073481358</v>
      </c>
      <c r="F5" s="67">
        <v>71.127308655404789</v>
      </c>
      <c r="G5" s="67">
        <v>182.40063427114575</v>
      </c>
      <c r="H5" s="67">
        <v>240.89177873463558</v>
      </c>
      <c r="I5" s="67">
        <v>211.46324519645933</v>
      </c>
      <c r="J5" s="67">
        <v>111.70568513864933</v>
      </c>
      <c r="K5" s="67">
        <v>20.830335279208978</v>
      </c>
      <c r="L5" s="67">
        <v>169.16772291499905</v>
      </c>
      <c r="M5" s="67">
        <v>334.77522034846049</v>
      </c>
    </row>
    <row r="6" spans="1:13" x14ac:dyDescent="0.4">
      <c r="A6" s="82" t="s">
        <v>48</v>
      </c>
      <c r="B6" s="67">
        <v>15.74437710368734</v>
      </c>
      <c r="C6" s="67">
        <v>15.478189952843406</v>
      </c>
      <c r="D6" s="67">
        <v>14.695371968360403</v>
      </c>
      <c r="E6" s="67">
        <v>12.638801305233411</v>
      </c>
      <c r="F6" s="67">
        <v>13.230600705642997</v>
      </c>
      <c r="G6" s="67">
        <v>14.540655324439722</v>
      </c>
      <c r="H6" s="67">
        <v>14.937774308187402</v>
      </c>
      <c r="I6" s="67">
        <v>14.75106225486164</v>
      </c>
      <c r="J6" s="67">
        <v>13.851584108020527</v>
      </c>
      <c r="K6" s="67">
        <v>11.645783273986435</v>
      </c>
      <c r="L6" s="67">
        <v>14.457913809025383</v>
      </c>
      <c r="M6" s="67">
        <v>15.478189952843406</v>
      </c>
    </row>
    <row r="7" spans="1:13" x14ac:dyDescent="0.4">
      <c r="A7" s="46" t="s">
        <v>49</v>
      </c>
      <c r="B7" s="67">
        <v>3.9137071290656494E-2</v>
      </c>
      <c r="C7" s="67">
        <v>3.9824399811745362E-2</v>
      </c>
      <c r="D7" s="67">
        <v>4.1896944128149281E-2</v>
      </c>
      <c r="E7" s="67">
        <v>4.891617458964824E-2</v>
      </c>
      <c r="F7" s="67">
        <v>4.6879946781046483E-2</v>
      </c>
      <c r="G7" s="67">
        <v>4.2647268853929943E-2</v>
      </c>
      <c r="H7" s="67">
        <v>4.151702961240622E-2</v>
      </c>
      <c r="I7" s="67">
        <v>4.2040402774206731E-2</v>
      </c>
      <c r="J7" s="67">
        <v>4.4770426007447003E-2</v>
      </c>
      <c r="K7" s="67">
        <v>5.3287668447080577E-2</v>
      </c>
      <c r="L7" s="67">
        <v>4.2686104575276808E-2</v>
      </c>
      <c r="M7" s="67">
        <v>3.9824399811745362E-2</v>
      </c>
    </row>
    <row r="8" spans="1:13" x14ac:dyDescent="0.4">
      <c r="A8" s="46" t="s">
        <v>50</v>
      </c>
      <c r="B8" s="67">
        <v>0.20705804863099331</v>
      </c>
      <c r="C8" s="67">
        <v>0.21061894252054425</v>
      </c>
      <c r="D8" s="67">
        <v>0.22183854937587652</v>
      </c>
      <c r="E8" s="67">
        <v>0.2579358533510695</v>
      </c>
      <c r="F8" s="67">
        <v>0.24639848730447778</v>
      </c>
      <c r="G8" s="67">
        <v>0.22419897365427749</v>
      </c>
      <c r="H8" s="67">
        <v>0.21823867014868362</v>
      </c>
      <c r="I8" s="67">
        <v>0.2210010332595243</v>
      </c>
      <c r="J8" s="67">
        <v>0.23535214272801785</v>
      </c>
      <c r="K8" s="67">
        <v>0.27992964692052608</v>
      </c>
      <c r="L8" s="67">
        <v>0.22548204693023755</v>
      </c>
      <c r="M8" s="67">
        <v>0.21061894252054425</v>
      </c>
    </row>
    <row r="9" spans="1:13" x14ac:dyDescent="0.4">
      <c r="A9" s="82" t="s">
        <v>47</v>
      </c>
      <c r="B9" s="67">
        <v>461.05698530035903</v>
      </c>
      <c r="C9" s="67">
        <v>387.2902731969445</v>
      </c>
      <c r="D9" s="67">
        <v>228.28805169937317</v>
      </c>
      <c r="E9" s="67">
        <v>51.034484086765922</v>
      </c>
      <c r="F9" s="67">
        <v>80.379034675362504</v>
      </c>
      <c r="G9" s="67">
        <v>208.83695899794193</v>
      </c>
      <c r="H9" s="67">
        <v>276.90468164991688</v>
      </c>
      <c r="I9" s="67">
        <v>242.62237881988824</v>
      </c>
      <c r="J9" s="67">
        <v>127.01807042345393</v>
      </c>
      <c r="K9" s="67">
        <v>23.175781326536669</v>
      </c>
      <c r="L9" s="67">
        <v>193.65703792872137</v>
      </c>
      <c r="M9" s="67">
        <v>387.2902731969445</v>
      </c>
    </row>
    <row r="10" spans="1:13" x14ac:dyDescent="0.4">
      <c r="A10" s="82" t="s">
        <v>48</v>
      </c>
      <c r="B10" s="67">
        <v>18.569569362317679</v>
      </c>
      <c r="C10" s="67">
        <v>18.200096144056104</v>
      </c>
      <c r="D10" s="67">
        <v>17.126512664666226</v>
      </c>
      <c r="E10" s="67">
        <v>14.39506819004956</v>
      </c>
      <c r="F10" s="67">
        <v>15.168202529853392</v>
      </c>
      <c r="G10" s="67">
        <v>16.916589685126549</v>
      </c>
      <c r="H10" s="67">
        <v>17.456900212101246</v>
      </c>
      <c r="I10" s="67">
        <v>17.202255532698196</v>
      </c>
      <c r="J10" s="67">
        <v>15.990531372449501</v>
      </c>
      <c r="K10" s="67">
        <v>13.120322711766001</v>
      </c>
      <c r="L10" s="67">
        <v>16.804626683639906</v>
      </c>
      <c r="M10" s="67">
        <v>18.200096144056104</v>
      </c>
    </row>
    <row r="11" spans="1:13" x14ac:dyDescent="0.4">
      <c r="A11" s="46" t="s">
        <v>49</v>
      </c>
      <c r="B11" s="67">
        <v>3.3736490152755004E-2</v>
      </c>
      <c r="C11" s="67">
        <v>3.4424366282606207E-2</v>
      </c>
      <c r="D11" s="67">
        <v>3.6498722382521963E-2</v>
      </c>
      <c r="E11" s="67">
        <v>4.3521770639140644E-2</v>
      </c>
      <c r="F11" s="67">
        <v>4.1484007091049394E-2</v>
      </c>
      <c r="G11" s="67">
        <v>3.7248621729669799E-2</v>
      </c>
      <c r="H11" s="67">
        <v>3.6117522649021898E-2</v>
      </c>
      <c r="I11" s="67">
        <v>3.6641302600530168E-2</v>
      </c>
      <c r="J11" s="67">
        <v>3.9373225356347526E-2</v>
      </c>
      <c r="K11" s="67">
        <v>4.7894825393828021E-2</v>
      </c>
      <c r="L11" s="67">
        <v>3.7288141904602237E-2</v>
      </c>
      <c r="M11" s="67">
        <v>3.4424366282606207E-2</v>
      </c>
    </row>
    <row r="12" spans="1:13" x14ac:dyDescent="0.4">
      <c r="A12" s="46" t="s">
        <v>50</v>
      </c>
      <c r="B12" s="67">
        <v>0.17555603667446104</v>
      </c>
      <c r="C12" s="67">
        <v>0.17911993289467656</v>
      </c>
      <c r="D12" s="67">
        <v>0.19034814990244392</v>
      </c>
      <c r="E12" s="67">
        <v>0.22646645065936066</v>
      </c>
      <c r="F12" s="67">
        <v>0.21492329058659401</v>
      </c>
      <c r="G12" s="67">
        <v>0.19271023655945602</v>
      </c>
      <c r="H12" s="67">
        <v>0.1867456398553585</v>
      </c>
      <c r="I12" s="67">
        <v>0.1895100322049835</v>
      </c>
      <c r="J12" s="67">
        <v>0.20387064845241659</v>
      </c>
      <c r="K12" s="67">
        <v>0.24846949816840241</v>
      </c>
      <c r="L12" s="67">
        <v>0.19399419346659774</v>
      </c>
      <c r="M12" s="67">
        <v>0.17911993289467656</v>
      </c>
    </row>
    <row r="13" spans="1:13" x14ac:dyDescent="0.4">
      <c r="A13" s="82" t="s">
        <v>47</v>
      </c>
      <c r="B13" s="67">
        <v>470.78323877199483</v>
      </c>
      <c r="C13" s="67">
        <v>395.29870036664045</v>
      </c>
      <c r="D13" s="67">
        <v>232.74431929338789</v>
      </c>
      <c r="E13" s="67">
        <v>51.870989361092278</v>
      </c>
      <c r="F13" s="67">
        <v>81.759873681095939</v>
      </c>
      <c r="G13" s="67">
        <v>212.82787747173003</v>
      </c>
      <c r="H13" s="67">
        <v>282.36003123228039</v>
      </c>
      <c r="I13" s="67">
        <v>247.33485142208727</v>
      </c>
      <c r="J13" s="67">
        <v>129.31587179958169</v>
      </c>
      <c r="K13" s="67">
        <v>23.521086053939698</v>
      </c>
      <c r="L13" s="67">
        <v>197.35679689569693</v>
      </c>
      <c r="M13" s="67">
        <v>395.29870036664045</v>
      </c>
    </row>
    <row r="14" spans="1:13" x14ac:dyDescent="0.4">
      <c r="A14" s="82" t="s">
        <v>48</v>
      </c>
      <c r="B14" s="67">
        <v>18.606802886027165</v>
      </c>
      <c r="C14" s="67">
        <v>18.235861332120017</v>
      </c>
      <c r="D14" s="67">
        <v>17.158179210202039</v>
      </c>
      <c r="E14" s="67">
        <v>14.41743284558201</v>
      </c>
      <c r="F14" s="67">
        <v>15.193036104516004</v>
      </c>
      <c r="G14" s="67">
        <v>16.947484002087737</v>
      </c>
      <c r="H14" s="67">
        <v>17.489801474281581</v>
      </c>
      <c r="I14" s="67">
        <v>17.234203052636573</v>
      </c>
      <c r="J14" s="67">
        <v>16.018133041351536</v>
      </c>
      <c r="K14" s="67">
        <v>13.138899218457844</v>
      </c>
      <c r="L14" s="67">
        <v>16.835113035337503</v>
      </c>
      <c r="M14" s="67">
        <v>18.235861332120017</v>
      </c>
    </row>
    <row r="15" spans="1:13" x14ac:dyDescent="0.4">
      <c r="A15" s="46" t="s">
        <v>49</v>
      </c>
      <c r="B15" s="67">
        <v>3.3039503456021822E-2</v>
      </c>
      <c r="C15" s="67">
        <v>3.3726956880598333E-2</v>
      </c>
      <c r="D15" s="67">
        <v>3.5799895127489607E-2</v>
      </c>
      <c r="E15" s="67">
        <v>4.2819910290300432E-2</v>
      </c>
      <c r="F15" s="67">
        <v>4.0783385471587573E-2</v>
      </c>
      <c r="G15" s="67">
        <v>3.6550140805318945E-2</v>
      </c>
      <c r="H15" s="67">
        <v>3.5419712441113055E-2</v>
      </c>
      <c r="I15" s="67">
        <v>3.5943175613487761E-2</v>
      </c>
      <c r="J15" s="67">
        <v>3.8673606275198537E-2</v>
      </c>
      <c r="K15" s="67">
        <v>4.7191698438350499E-2</v>
      </c>
      <c r="L15" s="67">
        <v>3.6589117905715993E-2</v>
      </c>
      <c r="M15" s="67">
        <v>3.3726956880598333E-2</v>
      </c>
    </row>
    <row r="16" spans="1:13" x14ac:dyDescent="0.4">
      <c r="A16" s="46" t="s">
        <v>50</v>
      </c>
      <c r="B16" s="67">
        <v>0.17520473667446104</v>
      </c>
      <c r="C16" s="67">
        <v>0.17876863289467657</v>
      </c>
      <c r="D16" s="67">
        <v>0.18999684990244392</v>
      </c>
      <c r="E16" s="67">
        <v>0.22611515065936066</v>
      </c>
      <c r="F16" s="67">
        <v>0.21457199058659401</v>
      </c>
      <c r="G16" s="67">
        <v>0.19235893655945602</v>
      </c>
      <c r="H16" s="67">
        <v>0.1863943398553585</v>
      </c>
      <c r="I16" s="67">
        <v>0.1891587322049835</v>
      </c>
      <c r="J16" s="67">
        <v>0.20351934845241659</v>
      </c>
      <c r="K16" s="67">
        <v>0.24811819816840242</v>
      </c>
      <c r="L16" s="67">
        <v>0.19364289346659774</v>
      </c>
      <c r="M16" s="67">
        <v>0.17876863289467657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FDB3A-53BF-4589-9374-3497AAA17428}">
  <sheetPr>
    <pageSetUpPr fitToPage="1"/>
  </sheetPr>
  <dimension ref="A1:S17"/>
  <sheetViews>
    <sheetView workbookViewId="0"/>
  </sheetViews>
  <sheetFormatPr defaultColWidth="9.15234375" defaultRowHeight="14.6" x14ac:dyDescent="0.4"/>
  <cols>
    <col min="1" max="1" width="13" style="1" customWidth="1"/>
    <col min="2" max="2" width="8.84375" style="1" customWidth="1"/>
    <col min="3" max="3" width="7.3046875" style="1" customWidth="1"/>
    <col min="4" max="4" width="8.53515625" style="1" customWidth="1"/>
    <col min="5" max="5" width="8" style="1" customWidth="1"/>
    <col min="6" max="6" width="8.3828125" style="1" customWidth="1"/>
    <col min="7" max="7" width="10.15234375" style="1" hidden="1" customWidth="1"/>
    <col min="8" max="8" width="8.53515625" style="1" hidden="1" customWidth="1"/>
    <col min="9" max="9" width="13" style="1" hidden="1" customWidth="1"/>
    <col min="10" max="10" width="13" style="1" customWidth="1"/>
    <col min="11" max="11" width="13.53515625" style="1" customWidth="1"/>
    <col min="12" max="12" width="13.53515625" style="1" hidden="1" customWidth="1"/>
    <col min="13" max="14" width="12" style="1" customWidth="1"/>
    <col min="15" max="15" width="13" style="1" customWidth="1"/>
    <col min="16" max="16" width="12.3046875" style="1" customWidth="1"/>
    <col min="17" max="17" width="12.53515625" style="1" customWidth="1"/>
    <col min="18" max="16384" width="9.15234375" style="1"/>
  </cols>
  <sheetData>
    <row r="1" spans="1:19" ht="58.75" thickBot="1" x14ac:dyDescent="0.45">
      <c r="A1" s="18"/>
      <c r="B1" s="19" t="s">
        <v>32</v>
      </c>
      <c r="C1" s="19" t="s">
        <v>29</v>
      </c>
      <c r="D1" s="19" t="s">
        <v>14</v>
      </c>
      <c r="E1" s="19" t="s">
        <v>13</v>
      </c>
      <c r="F1" s="19" t="s">
        <v>18</v>
      </c>
      <c r="G1" s="19" t="s">
        <v>19</v>
      </c>
      <c r="H1" s="19" t="s">
        <v>21</v>
      </c>
      <c r="I1" s="19" t="s">
        <v>22</v>
      </c>
      <c r="J1" s="19" t="s">
        <v>23</v>
      </c>
      <c r="K1" s="19" t="s">
        <v>24</v>
      </c>
      <c r="L1" s="19" t="s">
        <v>25</v>
      </c>
      <c r="M1" s="19" t="s">
        <v>20</v>
      </c>
      <c r="N1" s="19" t="s">
        <v>33</v>
      </c>
      <c r="O1" s="19" t="s">
        <v>45</v>
      </c>
      <c r="P1" s="19" t="s">
        <v>27</v>
      </c>
      <c r="Q1" s="20" t="s">
        <v>34</v>
      </c>
      <c r="R1" s="2"/>
      <c r="S1" s="2"/>
    </row>
    <row r="2" spans="1:19" x14ac:dyDescent="0.4">
      <c r="A2" s="10" t="s">
        <v>0</v>
      </c>
      <c r="B2" s="5">
        <v>6</v>
      </c>
      <c r="C2" s="5">
        <v>70</v>
      </c>
      <c r="D2" s="5">
        <f>294.261</f>
        <v>294.26100000000002</v>
      </c>
      <c r="E2" s="5">
        <v>42</v>
      </c>
      <c r="F2" s="11">
        <f>(E2-32)*(5/9)+273.15</f>
        <v>278.70555555555552</v>
      </c>
      <c r="G2" s="11">
        <f>(($F2-$F$15)/($F$16-$F$15))*(G$16-G$15)+G$15</f>
        <v>1.260759877777778</v>
      </c>
      <c r="H2" s="11">
        <f t="shared" ref="H2:M2" si="0">(($F2-$F$15)/($F$16-$F$15))*(H$16-H$15)+H$15</f>
        <v>1.0065741111111111</v>
      </c>
      <c r="I2" s="12">
        <f t="shared" si="0"/>
        <v>1.7395277777777775E-5</v>
      </c>
      <c r="J2" s="12">
        <f t="shared" si="0"/>
        <v>1.3994794444444439E-5</v>
      </c>
      <c r="K2" s="12">
        <f t="shared" si="0"/>
        <v>2.4596444444444442E-2</v>
      </c>
      <c r="L2" s="12">
        <f t="shared" si="0"/>
        <v>1.9689133333333328E-5</v>
      </c>
      <c r="M2" s="11">
        <f t="shared" si="0"/>
        <v>0.71253655555555551</v>
      </c>
      <c r="N2" s="11">
        <f>(B2*2.25)/J2</f>
        <v>964644.39357014932</v>
      </c>
      <c r="O2" s="5" t="str">
        <f>IF(N2&gt;(5*10^5),"Turbulent","Laminar")</f>
        <v>Turbulent</v>
      </c>
      <c r="P2" s="5">
        <f>(0.037*(N2^(4/5))-871)*(M2^(1/3))</f>
        <v>1248.0078087029287</v>
      </c>
      <c r="Q2" s="13">
        <f>(K2/2.25)*P2</f>
        <v>13.642913214664192</v>
      </c>
    </row>
    <row r="3" spans="1:19" x14ac:dyDescent="0.4">
      <c r="A3" s="10" t="s">
        <v>1</v>
      </c>
      <c r="B3" s="5">
        <v>6</v>
      </c>
      <c r="C3" s="5">
        <v>70</v>
      </c>
      <c r="D3" s="5">
        <f t="shared" ref="D3:D13" si="1">294.261</f>
        <v>294.26100000000002</v>
      </c>
      <c r="E3" s="5">
        <v>46</v>
      </c>
      <c r="F3" s="11">
        <f t="shared" ref="F3:F13" si="2">(E3-32)*(5/9)+273.15</f>
        <v>280.92777777777775</v>
      </c>
      <c r="G3" s="11">
        <f>(($F3-$F$15)/($F$16-$F$15))*(G$16-G$15)+G$15</f>
        <v>1.2503909888888891</v>
      </c>
      <c r="H3" s="11">
        <f t="shared" ref="H3:M6" si="3">(($F3-$F$15)/($F$16-$F$15))*(H$16-H$15)+H$15</f>
        <v>1.0066185555555556</v>
      </c>
      <c r="I3" s="12">
        <f t="shared" si="3"/>
        <v>1.7506388888888887E-5</v>
      </c>
      <c r="J3" s="12">
        <f t="shared" si="3"/>
        <v>1.4192572222222218E-5</v>
      </c>
      <c r="K3" s="12">
        <f t="shared" si="3"/>
        <v>2.4774222222222222E-2</v>
      </c>
      <c r="L3" s="12">
        <f t="shared" si="3"/>
        <v>1.998246666666666E-5</v>
      </c>
      <c r="M3" s="11">
        <f t="shared" si="3"/>
        <v>0.71195877777777772</v>
      </c>
      <c r="N3" s="11">
        <f t="shared" ref="N3:N13" si="4">(B3*2.25)/J3</f>
        <v>951201.78277917707</v>
      </c>
      <c r="O3" s="5" t="str">
        <f t="shared" ref="O3:O13" si="5">IF(N3&gt;(5*10^5),"Turbulent","Laminar")</f>
        <v>Turbulent</v>
      </c>
      <c r="P3" s="5">
        <f t="shared" ref="P3:P13" si="6">(0.037*(N3^(4/5))-871)*(M3^(1/3))</f>
        <v>1225.0589450680573</v>
      </c>
      <c r="Q3" s="13">
        <f t="shared" ref="Q3:Q13" si="7">(K3/2.25)*P3</f>
        <v>13.488836684638745</v>
      </c>
    </row>
    <row r="4" spans="1:19" x14ac:dyDescent="0.4">
      <c r="A4" s="10" t="s">
        <v>2</v>
      </c>
      <c r="B4" s="5">
        <v>7</v>
      </c>
      <c r="C4" s="5">
        <v>70</v>
      </c>
      <c r="D4" s="5">
        <f t="shared" si="1"/>
        <v>294.26100000000002</v>
      </c>
      <c r="E4" s="5">
        <v>55</v>
      </c>
      <c r="F4" s="11">
        <f t="shared" si="2"/>
        <v>285.92777777777775</v>
      </c>
      <c r="G4" s="11">
        <f>(($F4-$F$15)/($F$16-$F$15))*(G$16-G$15)+G$15</f>
        <v>1.227060988888889</v>
      </c>
      <c r="H4" s="11">
        <f t="shared" si="3"/>
        <v>1.0067185555555556</v>
      </c>
      <c r="I4" s="12">
        <f t="shared" si="3"/>
        <v>1.7756388888888886E-5</v>
      </c>
      <c r="J4" s="12">
        <f t="shared" si="3"/>
        <v>1.4637572222222218E-5</v>
      </c>
      <c r="K4" s="12">
        <f t="shared" si="3"/>
        <v>2.5174222222222219E-2</v>
      </c>
      <c r="L4" s="12">
        <f t="shared" si="3"/>
        <v>2.0642466666666661E-5</v>
      </c>
      <c r="M4" s="11">
        <f t="shared" si="3"/>
        <v>0.71065877777777775</v>
      </c>
      <c r="N4" s="11">
        <f t="shared" si="4"/>
        <v>1075998.1068505975</v>
      </c>
      <c r="O4" s="5" t="str">
        <f t="shared" si="5"/>
        <v>Turbulent</v>
      </c>
      <c r="P4" s="5">
        <f t="shared" si="6"/>
        <v>1431.7754584270342</v>
      </c>
      <c r="Q4" s="13">
        <f t="shared" si="7"/>
        <v>16.019481583451668</v>
      </c>
    </row>
    <row r="5" spans="1:19" x14ac:dyDescent="0.4">
      <c r="A5" s="10" t="s">
        <v>3</v>
      </c>
      <c r="B5" s="5">
        <v>6</v>
      </c>
      <c r="C5" s="5">
        <v>70</v>
      </c>
      <c r="D5" s="5">
        <f t="shared" si="1"/>
        <v>294.26100000000002</v>
      </c>
      <c r="E5" s="5">
        <v>66</v>
      </c>
      <c r="F5" s="11">
        <f t="shared" si="2"/>
        <v>292.03888888888889</v>
      </c>
      <c r="G5" s="11">
        <f>(($F5-$F$15)/($F$16-$F$15))*(G$16-G$15)+G$15</f>
        <v>1.1985465444444445</v>
      </c>
      <c r="H5" s="11">
        <f t="shared" si="3"/>
        <v>1.0068407777777777</v>
      </c>
      <c r="I5" s="12">
        <f t="shared" si="3"/>
        <v>1.8061944444444443E-5</v>
      </c>
      <c r="J5" s="12">
        <f t="shared" si="3"/>
        <v>1.5181461111111111E-5</v>
      </c>
      <c r="K5" s="12">
        <f t="shared" si="3"/>
        <v>2.5663111111111112E-2</v>
      </c>
      <c r="L5" s="12">
        <f t="shared" si="3"/>
        <v>2.1449133333333331E-5</v>
      </c>
      <c r="M5" s="11">
        <f t="shared" si="3"/>
        <v>0.70906988888888889</v>
      </c>
      <c r="N5" s="11">
        <f t="shared" si="4"/>
        <v>889242.47153783694</v>
      </c>
      <c r="O5" s="5" t="str">
        <f t="shared" si="5"/>
        <v>Turbulent</v>
      </c>
      <c r="P5" s="5">
        <f t="shared" si="6"/>
        <v>1118.4771180360206</v>
      </c>
      <c r="Q5" s="13">
        <f t="shared" si="7"/>
        <v>12.757156691286104</v>
      </c>
    </row>
    <row r="6" spans="1:19" x14ac:dyDescent="0.4">
      <c r="A6" s="10" t="s">
        <v>4</v>
      </c>
      <c r="B6" s="5">
        <v>5</v>
      </c>
      <c r="C6" s="5">
        <v>70</v>
      </c>
      <c r="D6" s="5">
        <f t="shared" si="1"/>
        <v>294.26100000000002</v>
      </c>
      <c r="E6" s="5">
        <v>76</v>
      </c>
      <c r="F6" s="11">
        <f t="shared" si="2"/>
        <v>297.59444444444443</v>
      </c>
      <c r="G6" s="11">
        <f>(($F6-$F$15)/($F$16-$F$15))*(G$16-G$15)+G$15</f>
        <v>1.1726243222222223</v>
      </c>
      <c r="H6" s="11">
        <f t="shared" si="3"/>
        <v>1.0069518888888889</v>
      </c>
      <c r="I6" s="12">
        <f t="shared" si="3"/>
        <v>1.8339722222222221E-5</v>
      </c>
      <c r="J6" s="12">
        <f t="shared" si="3"/>
        <v>1.5675905555555551E-5</v>
      </c>
      <c r="K6" s="12">
        <f t="shared" si="3"/>
        <v>2.6107555555555554E-2</v>
      </c>
      <c r="L6" s="12">
        <f t="shared" si="3"/>
        <v>2.2182466666666663E-5</v>
      </c>
      <c r="M6" s="11">
        <f t="shared" si="3"/>
        <v>0.70762544444444442</v>
      </c>
      <c r="N6" s="11">
        <f t="shared" si="4"/>
        <v>717661.8894602228</v>
      </c>
      <c r="O6" s="5" t="str">
        <f t="shared" si="5"/>
        <v>Turbulent</v>
      </c>
      <c r="P6" s="5">
        <f t="shared" si="6"/>
        <v>819.24680910577638</v>
      </c>
      <c r="Q6" s="13">
        <f t="shared" si="7"/>
        <v>9.5060140366403001</v>
      </c>
    </row>
    <row r="7" spans="1:19" x14ac:dyDescent="0.4">
      <c r="A7" s="10" t="s">
        <v>5</v>
      </c>
      <c r="B7" s="5">
        <v>5</v>
      </c>
      <c r="C7" s="5">
        <v>70</v>
      </c>
      <c r="D7" s="5">
        <f t="shared" si="1"/>
        <v>294.26100000000002</v>
      </c>
      <c r="E7" s="5">
        <v>84</v>
      </c>
      <c r="F7" s="11">
        <f t="shared" si="2"/>
        <v>302.03888888888889</v>
      </c>
      <c r="G7" s="11">
        <f>(($F7-$F$16)/($F$17-$F$16))*(G$17-G$16)+G$16</f>
        <v>1.1546145777777777</v>
      </c>
      <c r="H7" s="11">
        <f t="shared" ref="H7:M7" si="8">(($F7-$F$16)/($F$17-$F$16))*(H$17-H$16)+H$16</f>
        <v>1.0070815555555555</v>
      </c>
      <c r="I7" s="12">
        <f t="shared" si="8"/>
        <v>1.8556235555555553E-5</v>
      </c>
      <c r="J7" s="12">
        <f t="shared" si="8"/>
        <v>1.6095112222222222E-5</v>
      </c>
      <c r="K7" s="12">
        <f t="shared" si="8"/>
        <v>2.6450877777777777E-2</v>
      </c>
      <c r="L7" s="12">
        <f t="shared" si="8"/>
        <v>2.2801755555555553E-5</v>
      </c>
      <c r="M7" s="11">
        <f t="shared" si="8"/>
        <v>0.70671455555555551</v>
      </c>
      <c r="N7" s="11">
        <f t="shared" si="4"/>
        <v>698969.96334497968</v>
      </c>
      <c r="O7" s="5" t="str">
        <f t="shared" si="5"/>
        <v>Turbulent</v>
      </c>
      <c r="P7" s="5">
        <f t="shared" si="6"/>
        <v>785.57924511443889</v>
      </c>
      <c r="Q7" s="13">
        <f t="shared" si="7"/>
        <v>9.235226932124867</v>
      </c>
    </row>
    <row r="8" spans="1:19" x14ac:dyDescent="0.4">
      <c r="A8" s="10" t="s">
        <v>6</v>
      </c>
      <c r="B8" s="5">
        <v>5</v>
      </c>
      <c r="C8" s="5">
        <v>70</v>
      </c>
      <c r="D8" s="5">
        <f t="shared" si="1"/>
        <v>294.26100000000002</v>
      </c>
      <c r="E8" s="5">
        <v>88</v>
      </c>
      <c r="F8" s="11">
        <f t="shared" si="2"/>
        <v>304.26111111111106</v>
      </c>
      <c r="G8" s="11">
        <f t="shared" ref="G8:M9" si="9">(($F8-$F$16)/($F$17-$F$16))*(G$17-G$16)+G$16</f>
        <v>1.1472190222222223</v>
      </c>
      <c r="H8" s="11">
        <f t="shared" si="9"/>
        <v>1.0071704444444443</v>
      </c>
      <c r="I8" s="12">
        <f t="shared" si="9"/>
        <v>1.8661124444444441E-5</v>
      </c>
      <c r="J8" s="12">
        <f t="shared" si="9"/>
        <v>1.6318667777777772E-5</v>
      </c>
      <c r="K8" s="12">
        <f t="shared" si="9"/>
        <v>2.661532222222222E-2</v>
      </c>
      <c r="L8" s="12">
        <f t="shared" si="9"/>
        <v>2.3130644444444434E-5</v>
      </c>
      <c r="M8" s="11">
        <f t="shared" si="9"/>
        <v>0.70640344444444436</v>
      </c>
      <c r="N8" s="11">
        <f t="shared" si="4"/>
        <v>689394.51143921702</v>
      </c>
      <c r="O8" s="5" t="str">
        <f t="shared" si="5"/>
        <v>Turbulent</v>
      </c>
      <c r="P8" s="5">
        <f t="shared" si="6"/>
        <v>768.33063734623011</v>
      </c>
      <c r="Q8" s="13">
        <f t="shared" si="7"/>
        <v>9.0886077716334572</v>
      </c>
    </row>
    <row r="9" spans="1:19" x14ac:dyDescent="0.4">
      <c r="A9" s="10" t="s">
        <v>7</v>
      </c>
      <c r="B9" s="5">
        <v>5</v>
      </c>
      <c r="C9" s="5">
        <v>70</v>
      </c>
      <c r="D9" s="5">
        <f t="shared" si="1"/>
        <v>294.26100000000002</v>
      </c>
      <c r="E9" s="5">
        <v>86</v>
      </c>
      <c r="F9" s="11">
        <f t="shared" si="2"/>
        <v>303.14999999999998</v>
      </c>
      <c r="G9" s="11">
        <f t="shared" si="9"/>
        <v>1.1509168000000001</v>
      </c>
      <c r="H9" s="11">
        <f t="shared" si="9"/>
        <v>1.007126</v>
      </c>
      <c r="I9" s="12">
        <f t="shared" si="9"/>
        <v>1.8608679999999999E-5</v>
      </c>
      <c r="J9" s="12">
        <f t="shared" si="9"/>
        <v>1.6206889999999995E-5</v>
      </c>
      <c r="K9" s="12">
        <f t="shared" si="9"/>
        <v>2.6533099999999997E-2</v>
      </c>
      <c r="L9" s="12">
        <f t="shared" si="9"/>
        <v>2.2966199999999994E-5</v>
      </c>
      <c r="M9" s="11">
        <f t="shared" si="9"/>
        <v>0.70655899999999994</v>
      </c>
      <c r="N9" s="11">
        <f t="shared" si="4"/>
        <v>694149.21678372612</v>
      </c>
      <c r="O9" s="5" t="str">
        <f t="shared" si="5"/>
        <v>Turbulent</v>
      </c>
      <c r="P9" s="5">
        <f t="shared" si="6"/>
        <v>776.9011374030631</v>
      </c>
      <c r="Q9" s="13">
        <f t="shared" si="7"/>
        <v>9.1615980305907616</v>
      </c>
    </row>
    <row r="10" spans="1:19" x14ac:dyDescent="0.4">
      <c r="A10" s="10" t="s">
        <v>8</v>
      </c>
      <c r="B10" s="5">
        <v>5</v>
      </c>
      <c r="C10" s="5">
        <v>70</v>
      </c>
      <c r="D10" s="5">
        <f t="shared" si="1"/>
        <v>294.26100000000002</v>
      </c>
      <c r="E10" s="5">
        <v>79</v>
      </c>
      <c r="F10" s="11">
        <f t="shared" si="2"/>
        <v>299.26111111111106</v>
      </c>
      <c r="G10" s="11">
        <f t="shared" ref="G10:M13" si="10">(($F10-$F$15)/($F$16-$F$15))*(G$16-G$15)+G$15</f>
        <v>1.1648476555555558</v>
      </c>
      <c r="H10" s="11">
        <f t="shared" si="10"/>
        <v>1.0069852222222222</v>
      </c>
      <c r="I10" s="12">
        <f t="shared" si="10"/>
        <v>1.8423055555555554E-5</v>
      </c>
      <c r="J10" s="12">
        <f t="shared" si="10"/>
        <v>1.5824238888888885E-5</v>
      </c>
      <c r="K10" s="12">
        <f t="shared" si="10"/>
        <v>2.6240888888888887E-2</v>
      </c>
      <c r="L10" s="12">
        <f t="shared" si="10"/>
        <v>2.2402466666666658E-5</v>
      </c>
      <c r="M10" s="11">
        <f t="shared" si="10"/>
        <v>0.70719211111111113</v>
      </c>
      <c r="N10" s="11">
        <f t="shared" si="4"/>
        <v>710934.66668398678</v>
      </c>
      <c r="O10" s="5" t="str">
        <f t="shared" si="5"/>
        <v>Turbulent</v>
      </c>
      <c r="P10" s="5">
        <f t="shared" si="6"/>
        <v>807.1066889467362</v>
      </c>
      <c r="Q10" s="13">
        <f t="shared" si="7"/>
        <v>9.4129764205023605</v>
      </c>
    </row>
    <row r="11" spans="1:19" x14ac:dyDescent="0.4">
      <c r="A11" s="10" t="s">
        <v>9</v>
      </c>
      <c r="B11" s="5">
        <v>5</v>
      </c>
      <c r="C11" s="5">
        <v>70</v>
      </c>
      <c r="D11" s="5">
        <f t="shared" si="1"/>
        <v>294.26100000000002</v>
      </c>
      <c r="E11" s="5">
        <v>68</v>
      </c>
      <c r="F11" s="11">
        <f t="shared" si="2"/>
        <v>293.14999999999998</v>
      </c>
      <c r="G11" s="11">
        <f t="shared" si="10"/>
        <v>1.1933621000000001</v>
      </c>
      <c r="H11" s="11">
        <f t="shared" si="10"/>
        <v>1.0068629999999998</v>
      </c>
      <c r="I11" s="12">
        <f t="shared" si="10"/>
        <v>1.8117499999999997E-5</v>
      </c>
      <c r="J11" s="12">
        <f t="shared" si="10"/>
        <v>1.5280349999999997E-5</v>
      </c>
      <c r="K11" s="12">
        <f t="shared" si="10"/>
        <v>2.5751999999999997E-2</v>
      </c>
      <c r="L11" s="12">
        <f t="shared" si="10"/>
        <v>2.1595799999999994E-5</v>
      </c>
      <c r="M11" s="11">
        <f t="shared" si="10"/>
        <v>0.70878099999999999</v>
      </c>
      <c r="N11" s="11">
        <f t="shared" si="4"/>
        <v>736239.68037381361</v>
      </c>
      <c r="O11" s="5" t="str">
        <f t="shared" si="5"/>
        <v>Turbulent</v>
      </c>
      <c r="P11" s="5">
        <f t="shared" si="6"/>
        <v>852.66549923058847</v>
      </c>
      <c r="Q11" s="13">
        <f t="shared" si="7"/>
        <v>9.7590408605271612</v>
      </c>
    </row>
    <row r="12" spans="1:19" x14ac:dyDescent="0.4">
      <c r="A12" s="10" t="s">
        <v>10</v>
      </c>
      <c r="B12" s="5">
        <v>6</v>
      </c>
      <c r="C12" s="5">
        <v>70</v>
      </c>
      <c r="D12" s="5">
        <f t="shared" si="1"/>
        <v>294.26100000000002</v>
      </c>
      <c r="E12" s="5">
        <v>57</v>
      </c>
      <c r="F12" s="11">
        <f t="shared" si="2"/>
        <v>287.03888888888889</v>
      </c>
      <c r="G12" s="11">
        <f t="shared" si="10"/>
        <v>1.2218765444444444</v>
      </c>
      <c r="H12" s="11">
        <f t="shared" si="10"/>
        <v>1.0067407777777777</v>
      </c>
      <c r="I12" s="12">
        <f t="shared" si="10"/>
        <v>1.7811944444444444E-5</v>
      </c>
      <c r="J12" s="12">
        <f t="shared" si="10"/>
        <v>1.4736461111111111E-5</v>
      </c>
      <c r="K12" s="12">
        <f t="shared" si="10"/>
        <v>2.5263111111111111E-2</v>
      </c>
      <c r="L12" s="12">
        <f t="shared" si="10"/>
        <v>2.0789133333333334E-5</v>
      </c>
      <c r="M12" s="11">
        <f t="shared" si="10"/>
        <v>0.71036988888888886</v>
      </c>
      <c r="N12" s="11">
        <f t="shared" si="4"/>
        <v>916095.11253832618</v>
      </c>
      <c r="O12" s="5" t="str">
        <f t="shared" si="5"/>
        <v>Turbulent</v>
      </c>
      <c r="P12" s="5">
        <f t="shared" si="6"/>
        <v>1164.834516146791</v>
      </c>
      <c r="Q12" s="13">
        <f t="shared" si="7"/>
        <v>13.078819469988325</v>
      </c>
    </row>
    <row r="13" spans="1:19" ht="15" thickBot="1" x14ac:dyDescent="0.45">
      <c r="A13" s="14" t="s">
        <v>11</v>
      </c>
      <c r="B13" s="7">
        <v>6</v>
      </c>
      <c r="C13" s="7">
        <v>70</v>
      </c>
      <c r="D13" s="7">
        <f t="shared" si="1"/>
        <v>294.26100000000002</v>
      </c>
      <c r="E13" s="7">
        <v>46</v>
      </c>
      <c r="F13" s="15">
        <f t="shared" si="2"/>
        <v>280.92777777777775</v>
      </c>
      <c r="G13" s="15">
        <f t="shared" si="10"/>
        <v>1.2503909888888891</v>
      </c>
      <c r="H13" s="15">
        <f t="shared" si="10"/>
        <v>1.0066185555555556</v>
      </c>
      <c r="I13" s="16">
        <f t="shared" si="10"/>
        <v>1.7506388888888887E-5</v>
      </c>
      <c r="J13" s="16">
        <f t="shared" si="10"/>
        <v>1.4192572222222218E-5</v>
      </c>
      <c r="K13" s="16">
        <f t="shared" si="10"/>
        <v>2.4774222222222222E-2</v>
      </c>
      <c r="L13" s="16">
        <f t="shared" si="10"/>
        <v>1.998246666666666E-5</v>
      </c>
      <c r="M13" s="15">
        <f t="shared" si="10"/>
        <v>0.71195877777777772</v>
      </c>
      <c r="N13" s="15">
        <f t="shared" si="4"/>
        <v>951201.78277917707</v>
      </c>
      <c r="O13" s="7" t="str">
        <f t="shared" si="5"/>
        <v>Turbulent</v>
      </c>
      <c r="P13" s="7">
        <f t="shared" si="6"/>
        <v>1225.0589450680573</v>
      </c>
      <c r="Q13" s="17">
        <f t="shared" si="7"/>
        <v>13.488836684638745</v>
      </c>
    </row>
    <row r="14" spans="1:19" ht="15" thickBot="1" x14ac:dyDescent="0.45"/>
    <row r="15" spans="1:19" x14ac:dyDescent="0.4">
      <c r="E15" s="83" t="s">
        <v>31</v>
      </c>
      <c r="F15" s="3">
        <v>250</v>
      </c>
      <c r="G15" s="3">
        <v>1.3947000000000001</v>
      </c>
      <c r="H15" s="3">
        <v>1.006</v>
      </c>
      <c r="I15" s="3">
        <f>159.6*10^-7</f>
        <v>1.596E-5</v>
      </c>
      <c r="J15" s="3">
        <f>11.44*10^-6</f>
        <v>1.1439999999999999E-5</v>
      </c>
      <c r="K15" s="3">
        <f>22.3*10^-3</f>
        <v>2.23E-2</v>
      </c>
      <c r="L15" s="3">
        <f>15.9*10^-6</f>
        <v>1.59E-5</v>
      </c>
      <c r="M15" s="4">
        <v>0.72</v>
      </c>
      <c r="N15" s="5"/>
    </row>
    <row r="16" spans="1:19" x14ac:dyDescent="0.4">
      <c r="E16" s="84"/>
      <c r="F16" s="5">
        <v>300</v>
      </c>
      <c r="G16" s="5">
        <v>1.1614</v>
      </c>
      <c r="H16" s="5">
        <v>1.0069999999999999</v>
      </c>
      <c r="I16" s="5">
        <f>184.6*10^-7</f>
        <v>1.8459999999999999E-5</v>
      </c>
      <c r="J16" s="5">
        <f>15.89*10^-6</f>
        <v>1.5889999999999999E-5</v>
      </c>
      <c r="K16" s="5">
        <f>26.3*10^-3</f>
        <v>2.63E-2</v>
      </c>
      <c r="L16" s="5">
        <f>22.5*10^-6</f>
        <v>2.2499999999999998E-5</v>
      </c>
      <c r="M16" s="6">
        <v>0.70699999999999996</v>
      </c>
      <c r="N16" s="5"/>
    </row>
    <row r="17" spans="5:14" ht="15" thickBot="1" x14ac:dyDescent="0.45">
      <c r="E17" s="85"/>
      <c r="F17" s="7">
        <v>350</v>
      </c>
      <c r="G17" s="7">
        <v>0.995</v>
      </c>
      <c r="H17" s="7">
        <v>1.0089999999999999</v>
      </c>
      <c r="I17" s="7">
        <f>208.2*10^-7</f>
        <v>2.0819999999999997E-5</v>
      </c>
      <c r="J17" s="7">
        <f>20.92*10^-6</f>
        <v>2.092E-5</v>
      </c>
      <c r="K17" s="7">
        <f>30*10^-3</f>
        <v>0.03</v>
      </c>
      <c r="L17" s="7">
        <f>29.9*10^-6</f>
        <v>2.9899999999999998E-5</v>
      </c>
      <c r="M17" s="8">
        <v>0.7</v>
      </c>
      <c r="N17" s="5"/>
    </row>
  </sheetData>
  <mergeCells count="1">
    <mergeCell ref="E15:E17"/>
  </mergeCells>
  <pageMargins left="0.7" right="0.7" top="0.75" bottom="0.75" header="0.3" footer="0.3"/>
  <pageSetup scale="8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CA4B9-9EB0-4286-839B-F81C33D3BF38}">
  <sheetPr>
    <pageSetUpPr fitToPage="1"/>
  </sheetPr>
  <dimension ref="A1:R17"/>
  <sheetViews>
    <sheetView workbookViewId="0"/>
  </sheetViews>
  <sheetFormatPr defaultColWidth="9.15234375" defaultRowHeight="14.6" x14ac:dyDescent="0.4"/>
  <cols>
    <col min="1" max="1" width="13.53515625" style="1" customWidth="1"/>
    <col min="2" max="2" width="7.3828125" style="1" customWidth="1"/>
    <col min="3" max="3" width="7.69140625" style="1" customWidth="1"/>
    <col min="4" max="4" width="7.3046875" style="1" customWidth="1"/>
    <col min="5" max="5" width="7.53515625" style="1" customWidth="1"/>
    <col min="6" max="6" width="10.53515625" style="1" customWidth="1"/>
    <col min="7" max="7" width="10.15234375" style="1" hidden="1" customWidth="1"/>
    <col min="8" max="8" width="8.53515625" style="1" hidden="1" customWidth="1"/>
    <col min="9" max="9" width="13" style="1" hidden="1" customWidth="1"/>
    <col min="10" max="11" width="12.84375" style="1" customWidth="1"/>
    <col min="12" max="12" width="12.53515625" style="1" customWidth="1"/>
    <col min="13" max="13" width="10" style="1" customWidth="1"/>
    <col min="14" max="14" width="15.69140625" style="1" customWidth="1"/>
    <col min="15" max="15" width="12.3046875" style="1" customWidth="1"/>
    <col min="16" max="16" width="12.53515625" style="1" customWidth="1"/>
    <col min="17" max="16384" width="9.15234375" style="1"/>
  </cols>
  <sheetData>
    <row r="1" spans="1:18" ht="58.75" thickBot="1" x14ac:dyDescent="0.45">
      <c r="A1" s="18"/>
      <c r="B1" s="19" t="s">
        <v>29</v>
      </c>
      <c r="C1" s="19" t="s">
        <v>14</v>
      </c>
      <c r="D1" s="19" t="s">
        <v>13</v>
      </c>
      <c r="E1" s="19" t="s">
        <v>18</v>
      </c>
      <c r="F1" s="22" t="s">
        <v>42</v>
      </c>
      <c r="G1" s="19" t="s">
        <v>19</v>
      </c>
      <c r="H1" s="19" t="s">
        <v>21</v>
      </c>
      <c r="I1" s="19" t="s">
        <v>22</v>
      </c>
      <c r="J1" s="19" t="s">
        <v>23</v>
      </c>
      <c r="K1" s="19" t="s">
        <v>24</v>
      </c>
      <c r="L1" s="19" t="s">
        <v>25</v>
      </c>
      <c r="M1" s="19" t="s">
        <v>20</v>
      </c>
      <c r="N1" s="19" t="s">
        <v>26</v>
      </c>
      <c r="O1" s="19" t="s">
        <v>27</v>
      </c>
      <c r="P1" s="20" t="s">
        <v>30</v>
      </c>
      <c r="Q1" s="2"/>
      <c r="R1" s="2"/>
    </row>
    <row r="2" spans="1:18" x14ac:dyDescent="0.4">
      <c r="A2" s="10" t="s">
        <v>0</v>
      </c>
      <c r="B2" s="5">
        <v>70</v>
      </c>
      <c r="C2" s="5">
        <f>294.261</f>
        <v>294.26100000000002</v>
      </c>
      <c r="D2" s="5">
        <v>42</v>
      </c>
      <c r="E2" s="11">
        <f>(D2-32)*(5/9)+273.15</f>
        <v>278.70555555555552</v>
      </c>
      <c r="F2" s="24">
        <v>221.81341581615982</v>
      </c>
      <c r="G2" s="11">
        <f>(($E2-$E$15)/($E$16-$E$15))*(G$16-G$15)+G$15</f>
        <v>1.260759877777778</v>
      </c>
      <c r="H2" s="11">
        <f t="shared" ref="H2:M2" si="0">(($E2-$E$15)/($E$16-$E$15))*(H$16-H$15)+H$15</f>
        <v>1.0065741111111111</v>
      </c>
      <c r="I2" s="12">
        <f t="shared" si="0"/>
        <v>1.7395277777777775E-5</v>
      </c>
      <c r="J2" s="12">
        <f t="shared" si="0"/>
        <v>1.3994794444444439E-5</v>
      </c>
      <c r="K2" s="12">
        <f t="shared" si="0"/>
        <v>2.4596444444444442E-2</v>
      </c>
      <c r="L2" s="12">
        <f t="shared" si="0"/>
        <v>1.9689133333333328E-5</v>
      </c>
      <c r="M2" s="11">
        <f t="shared" si="0"/>
        <v>0.71253655555555551</v>
      </c>
      <c r="N2" s="31">
        <f t="shared" ref="N2:N13" si="1">(9.8*(2/(F2+C2))*ABS(F2-C2)*(2.25^3))/(J2*L2)</f>
        <v>113742319482.30573</v>
      </c>
      <c r="O2" s="29">
        <f>0.825+((0.387*((N2)^(1/6)))/((1+((0.492/M2)^(9/10)))^(8/27)))</f>
        <v>23.777888277102267</v>
      </c>
      <c r="P2" s="13">
        <f>(K2/2.25)*O2</f>
        <v>0.25993400356175678</v>
      </c>
    </row>
    <row r="3" spans="1:18" x14ac:dyDescent="0.4">
      <c r="A3" s="10" t="s">
        <v>1</v>
      </c>
      <c r="B3" s="5">
        <v>70</v>
      </c>
      <c r="C3" s="5">
        <f t="shared" ref="C3:C13" si="2">294.261</f>
        <v>294.26100000000002</v>
      </c>
      <c r="D3" s="5">
        <v>46</v>
      </c>
      <c r="E3" s="11">
        <f t="shared" ref="E3:E13" si="3">(D3-32)*(5/9)+273.15</f>
        <v>280.92777777777775</v>
      </c>
      <c r="F3" s="24">
        <v>231.90488750139704</v>
      </c>
      <c r="G3" s="11">
        <f>(($E3-$E$15)/($E$16-$E$15))*(G$16-G$15)+G$15</f>
        <v>1.2503909888888891</v>
      </c>
      <c r="H3" s="11">
        <f t="shared" ref="H3:M6" si="4">(($E3-$E$15)/($E$16-$E$15))*(H$16-H$15)+H$15</f>
        <v>1.0066185555555556</v>
      </c>
      <c r="I3" s="12">
        <f t="shared" si="4"/>
        <v>1.7506388888888887E-5</v>
      </c>
      <c r="J3" s="12">
        <f t="shared" si="4"/>
        <v>1.4192572222222218E-5</v>
      </c>
      <c r="K3" s="12">
        <f t="shared" si="4"/>
        <v>2.4774222222222222E-2</v>
      </c>
      <c r="L3" s="12">
        <f t="shared" si="4"/>
        <v>1.998246666666666E-5</v>
      </c>
      <c r="M3" s="11">
        <f t="shared" si="4"/>
        <v>0.71195877777777772</v>
      </c>
      <c r="N3" s="31">
        <f t="shared" si="1"/>
        <v>93293150436.229065</v>
      </c>
      <c r="O3" s="29">
        <f t="shared" ref="O3:O13" si="5">0.825+((0.387*((N3)^(1/6)))/((1+((0.492/M3)^(9/10)))^(8/27)))</f>
        <v>23.030099875735306</v>
      </c>
      <c r="P3" s="13">
        <f t="shared" ref="P3:P13" si="6">(K3/2.25)*O3</f>
        <v>0.25357902760952838</v>
      </c>
    </row>
    <row r="4" spans="1:18" x14ac:dyDescent="0.4">
      <c r="A4" s="10" t="s">
        <v>2</v>
      </c>
      <c r="B4" s="5">
        <v>70</v>
      </c>
      <c r="C4" s="5">
        <f t="shared" si="2"/>
        <v>294.26100000000002</v>
      </c>
      <c r="D4" s="5">
        <v>55</v>
      </c>
      <c r="E4" s="11">
        <f t="shared" si="3"/>
        <v>285.92777777777775</v>
      </c>
      <c r="F4" s="24">
        <v>254.71801433174022</v>
      </c>
      <c r="G4" s="11">
        <f>(($E4-$E$15)/($E$16-$E$15))*(G$16-G$15)+G$15</f>
        <v>1.227060988888889</v>
      </c>
      <c r="H4" s="11">
        <f t="shared" si="4"/>
        <v>1.0067185555555556</v>
      </c>
      <c r="I4" s="12">
        <f t="shared" si="4"/>
        <v>1.7756388888888886E-5</v>
      </c>
      <c r="J4" s="12">
        <f t="shared" si="4"/>
        <v>1.4637572222222218E-5</v>
      </c>
      <c r="K4" s="12">
        <f t="shared" si="4"/>
        <v>2.5174222222222219E-2</v>
      </c>
      <c r="L4" s="12">
        <f t="shared" si="4"/>
        <v>2.0642466666666661E-5</v>
      </c>
      <c r="M4" s="11">
        <f t="shared" si="4"/>
        <v>0.71065877777777775</v>
      </c>
      <c r="N4" s="31">
        <f t="shared" si="1"/>
        <v>53221449321.747406</v>
      </c>
      <c r="O4" s="29">
        <f t="shared" si="5"/>
        <v>21.042950087431155</v>
      </c>
      <c r="P4" s="13">
        <f t="shared" si="6"/>
        <v>0.23543995631649883</v>
      </c>
    </row>
    <row r="5" spans="1:18" x14ac:dyDescent="0.4">
      <c r="A5" s="10" t="s">
        <v>3</v>
      </c>
      <c r="B5" s="5">
        <v>70</v>
      </c>
      <c r="C5" s="5">
        <f t="shared" si="2"/>
        <v>294.26100000000002</v>
      </c>
      <c r="D5" s="5">
        <v>66</v>
      </c>
      <c r="E5" s="11">
        <f t="shared" si="3"/>
        <v>292.03888888888889</v>
      </c>
      <c r="F5" s="24">
        <v>283.41842334127585</v>
      </c>
      <c r="G5" s="11">
        <f>(($E5-$E$15)/($E$16-$E$15))*(G$16-G$15)+G$15</f>
        <v>1.1985465444444445</v>
      </c>
      <c r="H5" s="11">
        <f t="shared" si="4"/>
        <v>1.0068407777777777</v>
      </c>
      <c r="I5" s="12">
        <f t="shared" si="4"/>
        <v>1.8061944444444443E-5</v>
      </c>
      <c r="J5" s="12">
        <f t="shared" si="4"/>
        <v>1.5181461111111111E-5</v>
      </c>
      <c r="K5" s="12">
        <f t="shared" si="4"/>
        <v>2.5663111111111112E-2</v>
      </c>
      <c r="L5" s="12">
        <f t="shared" si="4"/>
        <v>2.1449133333333331E-5</v>
      </c>
      <c r="M5" s="11">
        <f t="shared" si="4"/>
        <v>0.70906988888888889</v>
      </c>
      <c r="N5" s="31">
        <f t="shared" si="1"/>
        <v>12868440186.53224</v>
      </c>
      <c r="O5" s="29">
        <f t="shared" si="5"/>
        <v>16.778962519705825</v>
      </c>
      <c r="P5" s="13">
        <f t="shared" si="6"/>
        <v>0.19137794643216863</v>
      </c>
    </row>
    <row r="6" spans="1:18" x14ac:dyDescent="0.4">
      <c r="A6" s="10" t="s">
        <v>4</v>
      </c>
      <c r="B6" s="5">
        <v>70</v>
      </c>
      <c r="C6" s="5">
        <f t="shared" si="2"/>
        <v>294.26100000000002</v>
      </c>
      <c r="D6" s="5">
        <v>76</v>
      </c>
      <c r="E6" s="11">
        <f t="shared" si="3"/>
        <v>297.59444444444443</v>
      </c>
      <c r="F6" s="24">
        <v>310.32630541213388</v>
      </c>
      <c r="G6" s="11">
        <f>(($E6-$E$15)/($E$16-$E$15))*(G$16-G$15)+G$15</f>
        <v>1.1726243222222223</v>
      </c>
      <c r="H6" s="11">
        <f t="shared" si="4"/>
        <v>1.0069518888888889</v>
      </c>
      <c r="I6" s="12">
        <f t="shared" si="4"/>
        <v>1.8339722222222221E-5</v>
      </c>
      <c r="J6" s="12">
        <f t="shared" si="4"/>
        <v>1.5675905555555551E-5</v>
      </c>
      <c r="K6" s="12">
        <f t="shared" si="4"/>
        <v>2.6107555555555554E-2</v>
      </c>
      <c r="L6" s="12">
        <f t="shared" si="4"/>
        <v>2.2182466666666663E-5</v>
      </c>
      <c r="M6" s="11">
        <f t="shared" si="4"/>
        <v>0.70762544444444442</v>
      </c>
      <c r="N6" s="31">
        <f t="shared" si="1"/>
        <v>17060474738.371758</v>
      </c>
      <c r="O6" s="29">
        <f t="shared" si="5"/>
        <v>17.542854779560429</v>
      </c>
      <c r="P6" s="13">
        <f t="shared" si="6"/>
        <v>0.20355602478240764</v>
      </c>
    </row>
    <row r="7" spans="1:18" x14ac:dyDescent="0.4">
      <c r="A7" s="10" t="s">
        <v>5</v>
      </c>
      <c r="B7" s="5">
        <v>70</v>
      </c>
      <c r="C7" s="5">
        <f t="shared" si="2"/>
        <v>294.26100000000002</v>
      </c>
      <c r="D7" s="5">
        <v>84</v>
      </c>
      <c r="E7" s="11">
        <f t="shared" si="3"/>
        <v>302.03888888888889</v>
      </c>
      <c r="F7" s="24">
        <v>330.96255365661818</v>
      </c>
      <c r="G7" s="11">
        <f>(($E7-$E$16)/($E$17-$E$16))*(G$17-G$16)+G$16</f>
        <v>1.1546145777777777</v>
      </c>
      <c r="H7" s="11">
        <f t="shared" ref="H7:M7" si="7">(($E7-$E$16)/($E$17-$E$16))*(H$17-H$16)+H$16</f>
        <v>1.0070815555555555</v>
      </c>
      <c r="I7" s="12">
        <f t="shared" si="7"/>
        <v>1.8556235555555553E-5</v>
      </c>
      <c r="J7" s="12">
        <f t="shared" si="7"/>
        <v>1.6095112222222222E-5</v>
      </c>
      <c r="K7" s="12">
        <f t="shared" si="7"/>
        <v>2.6450877777777777E-2</v>
      </c>
      <c r="L7" s="12">
        <f t="shared" si="7"/>
        <v>2.2801755555555553E-5</v>
      </c>
      <c r="M7" s="11">
        <f t="shared" si="7"/>
        <v>0.70671455555555551</v>
      </c>
      <c r="N7" s="31">
        <f t="shared" si="1"/>
        <v>35710049297.609459</v>
      </c>
      <c r="O7" s="29">
        <f t="shared" si="5"/>
        <v>19.73034413361011</v>
      </c>
      <c r="P7" s="13">
        <f t="shared" si="6"/>
        <v>0.23194885386294034</v>
      </c>
    </row>
    <row r="8" spans="1:18" x14ac:dyDescent="0.4">
      <c r="A8" s="10" t="s">
        <v>6</v>
      </c>
      <c r="B8" s="5">
        <v>70</v>
      </c>
      <c r="C8" s="5">
        <f t="shared" si="2"/>
        <v>294.26100000000002</v>
      </c>
      <c r="D8" s="5">
        <v>88</v>
      </c>
      <c r="E8" s="11">
        <f t="shared" si="3"/>
        <v>304.26111111111106</v>
      </c>
      <c r="F8" s="24">
        <v>341.13037142445859</v>
      </c>
      <c r="G8" s="11">
        <f t="shared" ref="G8:M9" si="8">(($E8-$E$16)/($E$17-$E$16))*(G$17-G$16)+G$16</f>
        <v>1.1472190222222223</v>
      </c>
      <c r="H8" s="11">
        <f t="shared" si="8"/>
        <v>1.0071704444444443</v>
      </c>
      <c r="I8" s="12">
        <f t="shared" si="8"/>
        <v>1.8661124444444441E-5</v>
      </c>
      <c r="J8" s="12">
        <f t="shared" si="8"/>
        <v>1.6318667777777772E-5</v>
      </c>
      <c r="K8" s="12">
        <f t="shared" si="8"/>
        <v>2.661532222222222E-2</v>
      </c>
      <c r="L8" s="12">
        <f t="shared" si="8"/>
        <v>2.3130644444444434E-5</v>
      </c>
      <c r="M8" s="11">
        <f t="shared" si="8"/>
        <v>0.70640344444444436</v>
      </c>
      <c r="N8" s="31">
        <f t="shared" si="1"/>
        <v>43629376658.542725</v>
      </c>
      <c r="O8" s="29">
        <f t="shared" si="5"/>
        <v>20.371153252329513</v>
      </c>
      <c r="P8" s="13">
        <f t="shared" si="6"/>
        <v>0.24097102571067563</v>
      </c>
    </row>
    <row r="9" spans="1:18" x14ac:dyDescent="0.4">
      <c r="A9" s="10" t="s">
        <v>7</v>
      </c>
      <c r="B9" s="5">
        <v>70</v>
      </c>
      <c r="C9" s="5">
        <f t="shared" si="2"/>
        <v>294.26100000000002</v>
      </c>
      <c r="D9" s="5">
        <v>86</v>
      </c>
      <c r="E9" s="11">
        <f t="shared" si="3"/>
        <v>303.14999999999998</v>
      </c>
      <c r="F9" s="24">
        <v>336.05647883382039</v>
      </c>
      <c r="G9" s="11">
        <f t="shared" si="8"/>
        <v>1.1509168000000001</v>
      </c>
      <c r="H9" s="11">
        <f t="shared" si="8"/>
        <v>1.007126</v>
      </c>
      <c r="I9" s="12">
        <f t="shared" si="8"/>
        <v>1.8608679999999999E-5</v>
      </c>
      <c r="J9" s="12">
        <f t="shared" si="8"/>
        <v>1.6206889999999995E-5</v>
      </c>
      <c r="K9" s="12">
        <f t="shared" si="8"/>
        <v>2.6533099999999997E-2</v>
      </c>
      <c r="L9" s="12">
        <f t="shared" si="8"/>
        <v>2.2966199999999994E-5</v>
      </c>
      <c r="M9" s="11">
        <f t="shared" si="8"/>
        <v>0.70655899999999994</v>
      </c>
      <c r="N9" s="31">
        <f t="shared" si="1"/>
        <v>39772670607.163139</v>
      </c>
      <c r="O9" s="29">
        <f t="shared" si="5"/>
        <v>20.07243888237177</v>
      </c>
      <c r="P9" s="13">
        <f t="shared" si="6"/>
        <v>0.23670401249327039</v>
      </c>
    </row>
    <row r="10" spans="1:18" x14ac:dyDescent="0.4">
      <c r="A10" s="10" t="s">
        <v>8</v>
      </c>
      <c r="B10" s="5">
        <v>70</v>
      </c>
      <c r="C10" s="5">
        <f t="shared" si="2"/>
        <v>294.26100000000002</v>
      </c>
      <c r="D10" s="5">
        <v>79</v>
      </c>
      <c r="E10" s="11">
        <f t="shared" si="3"/>
        <v>299.26111111111106</v>
      </c>
      <c r="F10" s="24">
        <v>318.12338943175939</v>
      </c>
      <c r="G10" s="11">
        <f t="shared" ref="G10:M13" si="9">(($E10-$E$15)/($E$16-$E$15))*(G$16-G$15)+G$15</f>
        <v>1.1648476555555558</v>
      </c>
      <c r="H10" s="11">
        <f t="shared" si="9"/>
        <v>1.0069852222222222</v>
      </c>
      <c r="I10" s="12">
        <f t="shared" si="9"/>
        <v>1.8423055555555554E-5</v>
      </c>
      <c r="J10" s="12">
        <f t="shared" si="9"/>
        <v>1.5824238888888885E-5</v>
      </c>
      <c r="K10" s="12">
        <f t="shared" si="9"/>
        <v>2.6240888888888887E-2</v>
      </c>
      <c r="L10" s="12">
        <f t="shared" si="9"/>
        <v>2.2402466666666658E-5</v>
      </c>
      <c r="M10" s="11">
        <f t="shared" si="9"/>
        <v>0.70719211111111113</v>
      </c>
      <c r="N10" s="31">
        <f t="shared" si="1"/>
        <v>24540012127.277313</v>
      </c>
      <c r="O10" s="29">
        <f t="shared" si="5"/>
        <v>18.585891696739562</v>
      </c>
      <c r="P10" s="13">
        <f t="shared" si="6"/>
        <v>0.21676014174002908</v>
      </c>
    </row>
    <row r="11" spans="1:18" x14ac:dyDescent="0.4">
      <c r="A11" s="10" t="s">
        <v>9</v>
      </c>
      <c r="B11" s="5">
        <v>70</v>
      </c>
      <c r="C11" s="5">
        <f t="shared" si="2"/>
        <v>294.26100000000002</v>
      </c>
      <c r="D11" s="5">
        <v>68</v>
      </c>
      <c r="E11" s="11">
        <f t="shared" si="3"/>
        <v>293.14999999999998</v>
      </c>
      <c r="F11" s="24">
        <v>288.78305599000657</v>
      </c>
      <c r="G11" s="11">
        <f t="shared" si="9"/>
        <v>1.1933621000000001</v>
      </c>
      <c r="H11" s="11">
        <f t="shared" si="9"/>
        <v>1.0068629999999998</v>
      </c>
      <c r="I11" s="12">
        <f t="shared" si="9"/>
        <v>1.8117499999999997E-5</v>
      </c>
      <c r="J11" s="12">
        <f t="shared" si="9"/>
        <v>1.5280349999999997E-5</v>
      </c>
      <c r="K11" s="12">
        <f t="shared" si="9"/>
        <v>2.5751999999999997E-2</v>
      </c>
      <c r="L11" s="12">
        <f t="shared" si="9"/>
        <v>2.1595799999999994E-5</v>
      </c>
      <c r="M11" s="11">
        <f t="shared" si="9"/>
        <v>0.70878099999999999</v>
      </c>
      <c r="N11" s="31">
        <f t="shared" si="1"/>
        <v>6356488180.4686556</v>
      </c>
      <c r="O11" s="29">
        <f t="shared" si="5"/>
        <v>15.008955845792352</v>
      </c>
      <c r="P11" s="13">
        <f t="shared" si="6"/>
        <v>0.17178250264037537</v>
      </c>
    </row>
    <row r="12" spans="1:18" x14ac:dyDescent="0.4">
      <c r="A12" s="10" t="s">
        <v>10</v>
      </c>
      <c r="B12" s="5">
        <v>70</v>
      </c>
      <c r="C12" s="5">
        <f t="shared" si="2"/>
        <v>294.26100000000002</v>
      </c>
      <c r="D12" s="5">
        <v>57</v>
      </c>
      <c r="E12" s="11">
        <f t="shared" si="3"/>
        <v>287.03888888888889</v>
      </c>
      <c r="F12" s="24">
        <v>259.95112909470788</v>
      </c>
      <c r="G12" s="11">
        <f t="shared" si="9"/>
        <v>1.2218765444444444</v>
      </c>
      <c r="H12" s="11">
        <f t="shared" si="9"/>
        <v>1.0067407777777777</v>
      </c>
      <c r="I12" s="12">
        <f t="shared" si="9"/>
        <v>1.7811944444444444E-5</v>
      </c>
      <c r="J12" s="12">
        <f t="shared" si="9"/>
        <v>1.4736461111111111E-5</v>
      </c>
      <c r="K12" s="12">
        <f t="shared" si="9"/>
        <v>2.5263111111111111E-2</v>
      </c>
      <c r="L12" s="12">
        <f t="shared" si="9"/>
        <v>2.0789133333333334E-5</v>
      </c>
      <c r="M12" s="11">
        <f t="shared" si="9"/>
        <v>0.71036988888888886</v>
      </c>
      <c r="N12" s="31">
        <f t="shared" si="1"/>
        <v>45114598475.555786</v>
      </c>
      <c r="O12" s="29">
        <f t="shared" si="5"/>
        <v>20.492802317117448</v>
      </c>
      <c r="P12" s="13">
        <f t="shared" si="6"/>
        <v>0.2300941964068326</v>
      </c>
    </row>
    <row r="13" spans="1:18" ht="15" thickBot="1" x14ac:dyDescent="0.45">
      <c r="A13" s="14" t="s">
        <v>11</v>
      </c>
      <c r="B13" s="7">
        <v>70</v>
      </c>
      <c r="C13" s="7">
        <f t="shared" si="2"/>
        <v>294.26100000000002</v>
      </c>
      <c r="D13" s="7">
        <v>46</v>
      </c>
      <c r="E13" s="15">
        <f t="shared" si="3"/>
        <v>280.92777777777775</v>
      </c>
      <c r="F13" s="26">
        <v>231.90488750139704</v>
      </c>
      <c r="G13" s="15">
        <f t="shared" si="9"/>
        <v>1.2503909888888891</v>
      </c>
      <c r="H13" s="15">
        <f t="shared" si="9"/>
        <v>1.0066185555555556</v>
      </c>
      <c r="I13" s="16">
        <f t="shared" si="9"/>
        <v>1.7506388888888887E-5</v>
      </c>
      <c r="J13" s="16">
        <f t="shared" si="9"/>
        <v>1.4192572222222218E-5</v>
      </c>
      <c r="K13" s="16">
        <f t="shared" si="9"/>
        <v>2.4774222222222222E-2</v>
      </c>
      <c r="L13" s="16">
        <f t="shared" si="9"/>
        <v>1.998246666666666E-5</v>
      </c>
      <c r="M13" s="15">
        <f t="shared" si="9"/>
        <v>0.71195877777777772</v>
      </c>
      <c r="N13" s="32">
        <f t="shared" si="1"/>
        <v>93293150436.229065</v>
      </c>
      <c r="O13" s="30">
        <f t="shared" si="5"/>
        <v>23.030099875735306</v>
      </c>
      <c r="P13" s="17">
        <f t="shared" si="6"/>
        <v>0.25357902760952838</v>
      </c>
    </row>
    <row r="14" spans="1:18" ht="15" thickBot="1" x14ac:dyDescent="0.45"/>
    <row r="15" spans="1:18" x14ac:dyDescent="0.4">
      <c r="D15" s="83" t="s">
        <v>31</v>
      </c>
      <c r="E15" s="3">
        <v>250</v>
      </c>
      <c r="F15" s="3"/>
      <c r="G15" s="3">
        <v>1.3947000000000001</v>
      </c>
      <c r="H15" s="3">
        <v>1.006</v>
      </c>
      <c r="I15" s="3">
        <f>159.6*10^-7</f>
        <v>1.596E-5</v>
      </c>
      <c r="J15" s="3">
        <f>11.44*10^-6</f>
        <v>1.1439999999999999E-5</v>
      </c>
      <c r="K15" s="3">
        <f>22.3*10^-3</f>
        <v>2.23E-2</v>
      </c>
      <c r="L15" s="3">
        <f>15.9*10^-6</f>
        <v>1.59E-5</v>
      </c>
      <c r="M15" s="4">
        <v>0.72</v>
      </c>
    </row>
    <row r="16" spans="1:18" x14ac:dyDescent="0.4">
      <c r="D16" s="84"/>
      <c r="E16" s="5">
        <v>300</v>
      </c>
      <c r="F16" s="5"/>
      <c r="G16" s="5">
        <v>1.1614</v>
      </c>
      <c r="H16" s="5">
        <v>1.0069999999999999</v>
      </c>
      <c r="I16" s="5">
        <f>184.6*10^-7</f>
        <v>1.8459999999999999E-5</v>
      </c>
      <c r="J16" s="5">
        <f>15.89*10^-6</f>
        <v>1.5889999999999999E-5</v>
      </c>
      <c r="K16" s="5">
        <f>26.3*10^-3</f>
        <v>2.63E-2</v>
      </c>
      <c r="L16" s="5">
        <f>22.5*10^-6</f>
        <v>2.2499999999999998E-5</v>
      </c>
      <c r="M16" s="6">
        <v>0.70699999999999996</v>
      </c>
    </row>
    <row r="17" spans="4:13" ht="15" thickBot="1" x14ac:dyDescent="0.45">
      <c r="D17" s="85"/>
      <c r="E17" s="7">
        <v>350</v>
      </c>
      <c r="F17" s="7"/>
      <c r="G17" s="7">
        <v>0.995</v>
      </c>
      <c r="H17" s="7">
        <v>1.0089999999999999</v>
      </c>
      <c r="I17" s="7">
        <f>208.2*10^-7</f>
        <v>2.0819999999999997E-5</v>
      </c>
      <c r="J17" s="7">
        <f>20.92*10^-6</f>
        <v>2.092E-5</v>
      </c>
      <c r="K17" s="7">
        <f>30*10^-3</f>
        <v>0.03</v>
      </c>
      <c r="L17" s="7">
        <f>29.9*10^-6</f>
        <v>2.9899999999999998E-5</v>
      </c>
      <c r="M17" s="8">
        <v>0.7</v>
      </c>
    </row>
  </sheetData>
  <mergeCells count="1">
    <mergeCell ref="D15:D17"/>
  </mergeCells>
  <pageMargins left="0.7" right="0.7" top="0.75" bottom="0.75" header="0.3" footer="0.3"/>
  <pageSetup scale="85" orientation="landscape" r:id="rId1"/>
  <ignoredErrors>
    <ignoredError sqref="G7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2D265-6C65-4A2F-BDC3-78EB6348E5C3}">
  <dimension ref="B1:N58"/>
  <sheetViews>
    <sheetView workbookViewId="0"/>
  </sheetViews>
  <sheetFormatPr defaultRowHeight="14.6" x14ac:dyDescent="0.4"/>
  <cols>
    <col min="2" max="14" width="10.15234375" customWidth="1"/>
  </cols>
  <sheetData>
    <row r="1" spans="2:14" ht="15" thickBot="1" x14ac:dyDescent="0.45"/>
    <row r="2" spans="2:14" ht="15" thickBot="1" x14ac:dyDescent="0.45">
      <c r="B2" s="33" t="s">
        <v>0</v>
      </c>
      <c r="C2" s="1"/>
      <c r="D2" s="1"/>
      <c r="E2" s="1"/>
      <c r="F2" s="9" t="s">
        <v>36</v>
      </c>
      <c r="G2" s="4">
        <v>278.70555555555552</v>
      </c>
      <c r="H2" s="1"/>
      <c r="I2" s="33" t="s">
        <v>6</v>
      </c>
      <c r="J2" s="1"/>
      <c r="K2" s="1"/>
      <c r="L2" s="1"/>
      <c r="M2" s="9" t="s">
        <v>36</v>
      </c>
      <c r="N2" s="4">
        <v>304.26111111111106</v>
      </c>
    </row>
    <row r="3" spans="2:14" ht="15.45" thickBot="1" x14ac:dyDescent="0.45">
      <c r="B3" s="18" t="s">
        <v>28</v>
      </c>
      <c r="C3" s="21" t="s">
        <v>38</v>
      </c>
      <c r="D3" s="21" t="s">
        <v>39</v>
      </c>
      <c r="E3" s="21" t="s">
        <v>46</v>
      </c>
      <c r="F3" s="21" t="s">
        <v>40</v>
      </c>
      <c r="G3" s="27" t="s">
        <v>41</v>
      </c>
      <c r="H3" s="1"/>
      <c r="I3" s="18" t="s">
        <v>28</v>
      </c>
      <c r="J3" s="21" t="s">
        <v>38</v>
      </c>
      <c r="K3" s="21" t="s">
        <v>39</v>
      </c>
      <c r="L3" s="21" t="s">
        <v>46</v>
      </c>
      <c r="M3" s="21" t="s">
        <v>40</v>
      </c>
      <c r="N3" s="27" t="s">
        <v>41</v>
      </c>
    </row>
    <row r="4" spans="2:14" x14ac:dyDescent="0.4">
      <c r="B4" s="10">
        <v>10</v>
      </c>
      <c r="C4" s="5">
        <v>2413.7013765321544</v>
      </c>
      <c r="D4" s="5">
        <v>4.0000000000000001E-3</v>
      </c>
      <c r="E4" s="5">
        <v>9.6548055061286178</v>
      </c>
      <c r="F4" s="5">
        <v>294.26</v>
      </c>
      <c r="G4" s="6">
        <v>284.60519449387135</v>
      </c>
      <c r="H4" s="1"/>
      <c r="I4" s="10">
        <v>10</v>
      </c>
      <c r="J4" s="5">
        <v>1496.1761177000672</v>
      </c>
      <c r="K4" s="5">
        <v>4.0000000000000001E-3</v>
      </c>
      <c r="L4" s="5">
        <v>5.9847044708002688</v>
      </c>
      <c r="M4" s="5">
        <v>294.26</v>
      </c>
      <c r="N4" s="6">
        <v>300.24470447080029</v>
      </c>
    </row>
    <row r="5" spans="2:14" x14ac:dyDescent="0.4">
      <c r="B5" s="10">
        <v>0.18495019962270826</v>
      </c>
      <c r="C5" s="5">
        <v>352.94012202149912</v>
      </c>
      <c r="D5" s="5">
        <v>0.21627443539719646</v>
      </c>
      <c r="E5" s="5">
        <v>76.331925619217344</v>
      </c>
      <c r="F5" s="5">
        <v>294.26</v>
      </c>
      <c r="G5" s="6">
        <v>217.92807438078265</v>
      </c>
      <c r="H5" s="1"/>
      <c r="I5" s="10">
        <v>0.17565583416844224</v>
      </c>
      <c r="J5" s="5">
        <v>215.85236757450619</v>
      </c>
      <c r="K5" s="5">
        <v>0.22771802706901648</v>
      </c>
      <c r="L5" s="5">
        <v>49.153475282242695</v>
      </c>
      <c r="M5" s="5">
        <v>294.26</v>
      </c>
      <c r="N5" s="6">
        <v>343.4134752822427</v>
      </c>
    </row>
    <row r="6" spans="2:14" x14ac:dyDescent="0.4">
      <c r="B6" s="10">
        <v>0.26244721964897127</v>
      </c>
      <c r="C6" s="5">
        <v>474.52618671356629</v>
      </c>
      <c r="D6" s="5">
        <v>0.15241159747663111</v>
      </c>
      <c r="E6" s="5">
        <v>72.323294161508755</v>
      </c>
      <c r="F6" s="5">
        <v>294.26</v>
      </c>
      <c r="G6" s="6">
        <v>221.93670583849124</v>
      </c>
      <c r="H6" s="1"/>
      <c r="I6" s="10">
        <v>0.24267188238310419</v>
      </c>
      <c r="J6" s="5">
        <v>284.00974746456586</v>
      </c>
      <c r="K6" s="5">
        <v>0.1648316220535691</v>
      </c>
      <c r="L6" s="5">
        <v>46.813787353608923</v>
      </c>
      <c r="M6" s="5">
        <v>294.26</v>
      </c>
      <c r="N6" s="6">
        <v>341.07378735360891</v>
      </c>
    </row>
    <row r="7" spans="2:14" x14ac:dyDescent="0.4">
      <c r="B7" s="10">
        <v>0.25985279946681394</v>
      </c>
      <c r="C7" s="5">
        <v>470.66208886044444</v>
      </c>
      <c r="D7" s="5">
        <v>0.15393330409399125</v>
      </c>
      <c r="E7" s="5">
        <v>72.450570450067929</v>
      </c>
      <c r="F7" s="5">
        <v>294.26</v>
      </c>
      <c r="G7" s="6">
        <v>221.80942954993208</v>
      </c>
      <c r="H7" s="1"/>
      <c r="I7" s="10">
        <v>0.24092791086426313</v>
      </c>
      <c r="J7" s="5">
        <v>282.31816106609443</v>
      </c>
      <c r="K7" s="5">
        <v>0.16602476589993628</v>
      </c>
      <c r="L7" s="5">
        <v>46.871806600298832</v>
      </c>
      <c r="M7" s="5">
        <v>294.26</v>
      </c>
      <c r="N7" s="6">
        <v>341.13180660029883</v>
      </c>
    </row>
    <row r="8" spans="2:14" x14ac:dyDescent="0.4">
      <c r="B8" s="10">
        <v>0.25993662754266678</v>
      </c>
      <c r="C8" s="5">
        <v>470.78715331641155</v>
      </c>
      <c r="D8" s="5">
        <v>0.15388366148373717</v>
      </c>
      <c r="E8" s="5">
        <v>72.446450931834946</v>
      </c>
      <c r="F8" s="5">
        <v>294.26</v>
      </c>
      <c r="G8" s="6">
        <v>221.81354906816506</v>
      </c>
      <c r="H8" s="1"/>
      <c r="I8" s="10">
        <v>0.24097211863608101</v>
      </c>
      <c r="J8" s="5">
        <v>282.36109257283522</v>
      </c>
      <c r="K8" s="5">
        <v>0.1659943076668072</v>
      </c>
      <c r="L8" s="5">
        <v>46.870334073671039</v>
      </c>
      <c r="M8" s="5">
        <v>294.26</v>
      </c>
      <c r="N8" s="6">
        <v>341.13033407367101</v>
      </c>
    </row>
    <row r="9" spans="2:14" x14ac:dyDescent="0.4">
      <c r="B9" s="10">
        <v>0.25993391584624709</v>
      </c>
      <c r="C9" s="5">
        <v>470.78310791475923</v>
      </c>
      <c r="D9" s="5">
        <v>0.15388526683705372</v>
      </c>
      <c r="E9" s="5">
        <v>72.446584183840187</v>
      </c>
      <c r="F9" s="5">
        <v>294.26</v>
      </c>
      <c r="G9" s="6">
        <v>221.81341581615982</v>
      </c>
      <c r="H9" s="1"/>
      <c r="I9" s="10">
        <v>0.24097099726662513</v>
      </c>
      <c r="J9" s="5">
        <v>282.36000361022292</v>
      </c>
      <c r="K9" s="5">
        <v>0.16599508012884032</v>
      </c>
      <c r="L9" s="5">
        <v>46.870371424458597</v>
      </c>
      <c r="M9" s="5">
        <v>294.26</v>
      </c>
      <c r="N9" s="6">
        <v>341.13037142445859</v>
      </c>
    </row>
    <row r="10" spans="2:14" ht="15" thickBot="1" x14ac:dyDescent="0.45">
      <c r="B10" s="39">
        <v>0.25993400356175678</v>
      </c>
      <c r="C10" s="40">
        <v>470.78323877199483</v>
      </c>
      <c r="D10" s="40">
        <v>0.15388521490800855</v>
      </c>
      <c r="E10" s="40">
        <v>72.446579873516725</v>
      </c>
      <c r="F10" s="40">
        <v>294.26</v>
      </c>
      <c r="G10" s="41">
        <v>221.81342012648327</v>
      </c>
      <c r="H10" s="1"/>
      <c r="I10" s="39">
        <v>0.24097102571067563</v>
      </c>
      <c r="J10" s="40">
        <v>282.36003123228039</v>
      </c>
      <c r="K10" s="40">
        <v>0.16599506053489774</v>
      </c>
      <c r="L10" s="40">
        <v>46.870370477038001</v>
      </c>
      <c r="M10" s="40">
        <v>294.26</v>
      </c>
      <c r="N10" s="41">
        <v>341.13037047703801</v>
      </c>
    </row>
    <row r="11" spans="2:14" ht="15" thickBot="1" x14ac:dyDescent="0.45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</row>
    <row r="12" spans="2:14" ht="15" thickBot="1" x14ac:dyDescent="0.45">
      <c r="B12" s="33" t="s">
        <v>1</v>
      </c>
      <c r="C12" s="1"/>
      <c r="D12" s="1"/>
      <c r="E12" s="1"/>
      <c r="F12" s="9" t="s">
        <v>36</v>
      </c>
      <c r="G12" s="4">
        <v>280.92777777777775</v>
      </c>
      <c r="H12" s="1"/>
      <c r="I12" s="33" t="s">
        <v>7</v>
      </c>
      <c r="J12" s="1"/>
      <c r="K12" s="1"/>
      <c r="L12" s="1"/>
      <c r="M12" s="9" t="s">
        <v>36</v>
      </c>
      <c r="N12" s="4">
        <v>303.14999999999998</v>
      </c>
    </row>
    <row r="13" spans="2:14" ht="15.45" thickBot="1" x14ac:dyDescent="0.45">
      <c r="B13" s="18" t="s">
        <v>28</v>
      </c>
      <c r="C13" s="21" t="s">
        <v>38</v>
      </c>
      <c r="D13" s="21" t="s">
        <v>39</v>
      </c>
      <c r="E13" s="21" t="s">
        <v>46</v>
      </c>
      <c r="F13" s="21" t="s">
        <v>40</v>
      </c>
      <c r="G13" s="27" t="s">
        <v>41</v>
      </c>
      <c r="H13" s="1"/>
      <c r="I13" s="18" t="s">
        <v>28</v>
      </c>
      <c r="J13" s="21" t="s">
        <v>38</v>
      </c>
      <c r="K13" s="21" t="s">
        <v>39</v>
      </c>
      <c r="L13" s="21" t="s">
        <v>46</v>
      </c>
      <c r="M13" s="21" t="s">
        <v>40</v>
      </c>
      <c r="N13" s="27" t="s">
        <v>41</v>
      </c>
    </row>
    <row r="14" spans="2:14" x14ac:dyDescent="0.4">
      <c r="B14" s="9">
        <v>10</v>
      </c>
      <c r="C14" s="3">
        <v>2067.0981199929424</v>
      </c>
      <c r="D14" s="3">
        <v>4.0000000000000001E-3</v>
      </c>
      <c r="E14" s="3">
        <v>8.2683924799717694</v>
      </c>
      <c r="F14" s="3">
        <v>294.26</v>
      </c>
      <c r="G14" s="4">
        <v>285.9916075200282</v>
      </c>
      <c r="H14" s="1"/>
      <c r="I14" s="10">
        <v>10</v>
      </c>
      <c r="J14" s="5">
        <v>1331.0898820753962</v>
      </c>
      <c r="K14" s="5">
        <v>4.0000000000000001E-3</v>
      </c>
      <c r="L14" s="5">
        <v>5.324359528301585</v>
      </c>
      <c r="M14" s="5">
        <v>294.26</v>
      </c>
      <c r="N14" s="6">
        <v>299.58435952830155</v>
      </c>
    </row>
    <row r="15" spans="2:14" x14ac:dyDescent="0.4">
      <c r="B15" s="10">
        <v>0.18085636774438504</v>
      </c>
      <c r="C15" s="5">
        <v>296.65388103906452</v>
      </c>
      <c r="D15" s="5">
        <v>0.22116998421937983</v>
      </c>
      <c r="E15" s="5">
        <v>65.610934188027684</v>
      </c>
      <c r="F15" s="5">
        <v>294.26</v>
      </c>
      <c r="G15" s="6">
        <v>228.64906581197232</v>
      </c>
      <c r="H15" s="1"/>
      <c r="I15" s="10">
        <v>0.17233440563892305</v>
      </c>
      <c r="J15" s="5">
        <v>188.73404083320955</v>
      </c>
      <c r="K15" s="5">
        <v>0.23210687298164037</v>
      </c>
      <c r="L15" s="5">
        <v>43.806468042985493</v>
      </c>
      <c r="M15" s="5">
        <v>294.26</v>
      </c>
      <c r="N15" s="6">
        <v>338.06646804298549</v>
      </c>
    </row>
    <row r="16" spans="2:14" x14ac:dyDescent="0.4">
      <c r="B16" s="10">
        <v>0.25591703448571695</v>
      </c>
      <c r="C16" s="5">
        <v>398.30842186014451</v>
      </c>
      <c r="D16" s="5">
        <v>0.15630065454760672</v>
      </c>
      <c r="E16" s="5">
        <v>62.255867048564852</v>
      </c>
      <c r="F16" s="5">
        <v>294.26</v>
      </c>
      <c r="G16" s="6">
        <v>232.00413295143514</v>
      </c>
      <c r="H16" s="1"/>
      <c r="I16" s="10">
        <v>0.23836648722114198</v>
      </c>
      <c r="J16" s="5">
        <v>248.77739243278396</v>
      </c>
      <c r="K16" s="5">
        <v>0.16780882441284803</v>
      </c>
      <c r="L16" s="5">
        <v>41.747041764639228</v>
      </c>
      <c r="M16" s="5">
        <v>294.26</v>
      </c>
      <c r="N16" s="6">
        <v>336.00704176463921</v>
      </c>
    </row>
    <row r="17" spans="2:14" x14ac:dyDescent="0.4">
      <c r="B17" s="10">
        <v>0.25350644526708382</v>
      </c>
      <c r="C17" s="5">
        <v>395.2051118510247</v>
      </c>
      <c r="D17" s="5">
        <v>0.15778691527096153</v>
      </c>
      <c r="E17" s="5">
        <v>62.358195498288509</v>
      </c>
      <c r="F17" s="5">
        <v>294.26</v>
      </c>
      <c r="G17" s="6">
        <v>231.90180450171147</v>
      </c>
      <c r="H17" s="1"/>
      <c r="I17" s="10">
        <v>0.23666221136982005</v>
      </c>
      <c r="J17" s="5">
        <v>247.29853638999742</v>
      </c>
      <c r="K17" s="5">
        <v>0.16901726629053601</v>
      </c>
      <c r="L17" s="5">
        <v>41.797722578288003</v>
      </c>
      <c r="M17" s="5">
        <v>294.26</v>
      </c>
      <c r="N17" s="6">
        <v>336.05772257828801</v>
      </c>
    </row>
    <row r="18" spans="2:14" x14ac:dyDescent="0.4">
      <c r="B18" s="10">
        <v>0.25358128104948868</v>
      </c>
      <c r="C18" s="5">
        <v>395.30160583050218</v>
      </c>
      <c r="D18" s="5">
        <v>0.15774034989670094</v>
      </c>
      <c r="E18" s="5">
        <v>62.355013618431173</v>
      </c>
      <c r="F18" s="5">
        <v>294.26</v>
      </c>
      <c r="G18" s="6">
        <v>231.90498638156882</v>
      </c>
      <c r="H18" s="1"/>
      <c r="I18" s="10">
        <v>0.23670506355082613</v>
      </c>
      <c r="J18" s="5">
        <v>247.33576450824526</v>
      </c>
      <c r="K18" s="5">
        <v>0.16898666804992563</v>
      </c>
      <c r="L18" s="5">
        <v>41.79644673382942</v>
      </c>
      <c r="M18" s="5">
        <v>294.26</v>
      </c>
      <c r="N18" s="6">
        <v>336.05644673382943</v>
      </c>
    </row>
    <row r="19" spans="2:14" x14ac:dyDescent="0.4">
      <c r="B19" s="10">
        <v>0.25357895533430796</v>
      </c>
      <c r="C19" s="5">
        <v>395.29860717872464</v>
      </c>
      <c r="D19" s="5">
        <v>0.15774179662214344</v>
      </c>
      <c r="E19" s="5">
        <v>62.355112498602949</v>
      </c>
      <c r="F19" s="5">
        <v>294.26</v>
      </c>
      <c r="G19" s="6">
        <v>231.90488750139704</v>
      </c>
      <c r="H19" s="1"/>
      <c r="I19" s="10">
        <v>0.23670398536598847</v>
      </c>
      <c r="J19" s="5">
        <v>247.33482785576169</v>
      </c>
      <c r="K19" s="5">
        <v>0.16898743778290234</v>
      </c>
      <c r="L19" s="5">
        <v>41.796478833820387</v>
      </c>
      <c r="M19" s="5">
        <v>294.26</v>
      </c>
      <c r="N19" s="6">
        <v>336.05647883382039</v>
      </c>
    </row>
    <row r="20" spans="2:14" ht="15" thickBot="1" x14ac:dyDescent="0.45">
      <c r="B20" s="39">
        <v>0.25357902760952838</v>
      </c>
      <c r="C20" s="40">
        <v>395.29870036664045</v>
      </c>
      <c r="D20" s="40">
        <v>0.15774175166249818</v>
      </c>
      <c r="E20" s="40">
        <v>62.355109425742874</v>
      </c>
      <c r="F20" s="40">
        <v>294.26</v>
      </c>
      <c r="G20" s="41">
        <v>231.90489057425711</v>
      </c>
      <c r="H20" s="1"/>
      <c r="I20" s="39">
        <v>0.23670401249327039</v>
      </c>
      <c r="J20" s="40">
        <v>247.33485142208727</v>
      </c>
      <c r="K20" s="40">
        <v>0.16898741841622655</v>
      </c>
      <c r="L20" s="40">
        <v>41.796478026179486</v>
      </c>
      <c r="M20" s="40">
        <v>294.26</v>
      </c>
      <c r="N20" s="41">
        <v>336.05647802617949</v>
      </c>
    </row>
    <row r="21" spans="2:14" ht="15" thickBot="1" x14ac:dyDescent="0.45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</row>
    <row r="22" spans="2:14" ht="15" thickBot="1" x14ac:dyDescent="0.45">
      <c r="B22" s="33" t="s">
        <v>2</v>
      </c>
      <c r="C22" s="1"/>
      <c r="D22" s="1"/>
      <c r="E22" s="1"/>
      <c r="F22" s="9" t="s">
        <v>36</v>
      </c>
      <c r="G22" s="4">
        <v>285.92777777777775</v>
      </c>
      <c r="H22" s="1"/>
      <c r="I22" s="33" t="s">
        <v>8</v>
      </c>
      <c r="J22" s="1"/>
      <c r="K22" s="1"/>
      <c r="L22" s="1"/>
      <c r="M22" s="18" t="s">
        <v>36</v>
      </c>
      <c r="N22" s="27">
        <v>299.26111111111106</v>
      </c>
    </row>
    <row r="23" spans="2:14" ht="15.45" thickBot="1" x14ac:dyDescent="0.45">
      <c r="B23" s="18" t="s">
        <v>28</v>
      </c>
      <c r="C23" s="21" t="s">
        <v>38</v>
      </c>
      <c r="D23" s="21" t="s">
        <v>39</v>
      </c>
      <c r="E23" s="21" t="s">
        <v>46</v>
      </c>
      <c r="F23" s="21" t="s">
        <v>40</v>
      </c>
      <c r="G23" s="27" t="s">
        <v>41</v>
      </c>
      <c r="H23" s="1"/>
      <c r="I23" s="18" t="s">
        <v>28</v>
      </c>
      <c r="J23" s="21" t="s">
        <v>38</v>
      </c>
      <c r="K23" s="21" t="s">
        <v>39</v>
      </c>
      <c r="L23" s="21" t="s">
        <v>46</v>
      </c>
      <c r="M23" s="21" t="s">
        <v>40</v>
      </c>
      <c r="N23" s="27" t="s">
        <v>41</v>
      </c>
    </row>
    <row r="24" spans="2:14" x14ac:dyDescent="0.4">
      <c r="B24" s="9">
        <v>10</v>
      </c>
      <c r="C24" s="3">
        <v>1307.4907415939131</v>
      </c>
      <c r="D24" s="3">
        <v>4.0000000000000001E-3</v>
      </c>
      <c r="E24" s="3">
        <v>5.2299629663756528</v>
      </c>
      <c r="F24" s="3">
        <v>294.26</v>
      </c>
      <c r="G24" s="4">
        <v>289.03003703362435</v>
      </c>
      <c r="H24" s="1"/>
      <c r="I24" s="10">
        <v>10</v>
      </c>
      <c r="J24" s="5">
        <v>750.94668188288415</v>
      </c>
      <c r="K24" s="5">
        <v>4.0000000000000001E-3</v>
      </c>
      <c r="L24" s="5">
        <v>3.0037867275315366</v>
      </c>
      <c r="M24" s="5">
        <v>294.26</v>
      </c>
      <c r="N24" s="6">
        <v>297.26378672753151</v>
      </c>
    </row>
    <row r="25" spans="2:14" x14ac:dyDescent="0.4">
      <c r="B25" s="10">
        <v>0.16907875477437356</v>
      </c>
      <c r="C25" s="5">
        <v>175.08545396906331</v>
      </c>
      <c r="D25" s="5">
        <v>0.236576144964977</v>
      </c>
      <c r="E25" s="5">
        <v>41.421041739443929</v>
      </c>
      <c r="F25" s="5">
        <v>294.26</v>
      </c>
      <c r="G25" s="6">
        <v>252.83895826055607</v>
      </c>
      <c r="H25" s="1"/>
      <c r="I25" s="10">
        <v>0.15710322645675223</v>
      </c>
      <c r="J25" s="5">
        <v>97.94089889529846</v>
      </c>
      <c r="K25" s="5">
        <v>0.25460966590021816</v>
      </c>
      <c r="L25" s="5">
        <v>24.936699545698986</v>
      </c>
      <c r="M25" s="5">
        <v>294.26</v>
      </c>
      <c r="N25" s="6">
        <v>319.19669954569895</v>
      </c>
    </row>
    <row r="26" spans="2:14" x14ac:dyDescent="0.4">
      <c r="B26" s="10">
        <v>0.23732734217921767</v>
      </c>
      <c r="C26" s="5">
        <v>234.30801774716119</v>
      </c>
      <c r="D26" s="5">
        <v>0.16854358049395762</v>
      </c>
      <c r="E26" s="5">
        <v>39.491112249548316</v>
      </c>
      <c r="F26" s="5">
        <v>294.26</v>
      </c>
      <c r="G26" s="6">
        <v>254.76888775045168</v>
      </c>
      <c r="H26" s="1"/>
      <c r="I26" s="10">
        <v>0.2182237433656605</v>
      </c>
      <c r="J26" s="5">
        <v>130.05180107135453</v>
      </c>
      <c r="K26" s="5">
        <v>0.18329811130118467</v>
      </c>
      <c r="L26" s="5">
        <v>23.83824950769667</v>
      </c>
      <c r="M26" s="5">
        <v>294.26</v>
      </c>
      <c r="N26" s="6">
        <v>318.09824950769666</v>
      </c>
    </row>
    <row r="27" spans="2:14" x14ac:dyDescent="0.4">
      <c r="B27" s="10">
        <v>0.23538793308983147</v>
      </c>
      <c r="C27" s="5">
        <v>232.70116113672563</v>
      </c>
      <c r="D27" s="5">
        <v>0.16993224535743187</v>
      </c>
      <c r="E27" s="5">
        <v>39.543430809245351</v>
      </c>
      <c r="F27" s="5">
        <v>294.26</v>
      </c>
      <c r="G27" s="6">
        <v>254.71656919075463</v>
      </c>
      <c r="H27" s="1"/>
      <c r="I27" s="10">
        <v>0.21672517144551004</v>
      </c>
      <c r="J27" s="5">
        <v>129.29826906372304</v>
      </c>
      <c r="K27" s="5">
        <v>0.18456554784665133</v>
      </c>
      <c r="L27" s="5">
        <v>23.864005865369773</v>
      </c>
      <c r="M27" s="5">
        <v>294.26</v>
      </c>
      <c r="N27" s="6">
        <v>318.12400586536978</v>
      </c>
    </row>
    <row r="28" spans="2:14" x14ac:dyDescent="0.4">
      <c r="B28" s="10">
        <v>0.23544143338687054</v>
      </c>
      <c r="C28" s="5">
        <v>232.7455446174543</v>
      </c>
      <c r="D28" s="5">
        <v>0.16989363097477053</v>
      </c>
      <c r="E28" s="5">
        <v>39.54198566825977</v>
      </c>
      <c r="F28" s="5">
        <v>294.26</v>
      </c>
      <c r="G28" s="6">
        <v>254.71801433174022</v>
      </c>
      <c r="H28" s="1"/>
      <c r="I28" s="10">
        <v>0.21676099880862471</v>
      </c>
      <c r="J28" s="5">
        <v>129.31630320468369</v>
      </c>
      <c r="K28" s="5">
        <v>0.18453504191183143</v>
      </c>
      <c r="L28" s="5">
        <v>23.863389431759405</v>
      </c>
      <c r="M28" s="5">
        <v>294.26</v>
      </c>
      <c r="N28" s="6">
        <v>318.12338943175939</v>
      </c>
    </row>
    <row r="29" spans="2:14" ht="15" thickBot="1" x14ac:dyDescent="0.45">
      <c r="B29" s="39">
        <v>0.23543995631649883</v>
      </c>
      <c r="C29" s="40">
        <v>232.74431929338789</v>
      </c>
      <c r="D29" s="40">
        <v>0.16989469682974509</v>
      </c>
      <c r="E29" s="40">
        <v>39.542025565195523</v>
      </c>
      <c r="F29" s="40">
        <v>294.26</v>
      </c>
      <c r="G29" s="41">
        <v>254.71797443480446</v>
      </c>
      <c r="H29" s="1"/>
      <c r="I29" s="39">
        <v>0.21676014174002908</v>
      </c>
      <c r="J29" s="40">
        <v>129.31587179958169</v>
      </c>
      <c r="K29" s="40">
        <v>0.1845357715625317</v>
      </c>
      <c r="L29" s="40">
        <v>23.863404177817241</v>
      </c>
      <c r="M29" s="40">
        <v>294.26</v>
      </c>
      <c r="N29" s="41">
        <v>318.12340417781724</v>
      </c>
    </row>
    <row r="30" spans="2:14" ht="15" thickBot="1" x14ac:dyDescent="0.45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</row>
    <row r="31" spans="2:14" ht="15" thickBot="1" x14ac:dyDescent="0.45">
      <c r="B31" s="33" t="s">
        <v>3</v>
      </c>
      <c r="C31" s="1"/>
      <c r="D31" s="1"/>
      <c r="E31" s="1"/>
      <c r="F31" s="18" t="s">
        <v>36</v>
      </c>
      <c r="G31" s="27">
        <v>292.03888888888889</v>
      </c>
      <c r="H31" s="1"/>
      <c r="I31" s="33" t="s">
        <v>9</v>
      </c>
      <c r="J31" s="1"/>
      <c r="K31" s="1"/>
      <c r="L31" s="1"/>
      <c r="M31" s="9" t="s">
        <v>36</v>
      </c>
      <c r="N31" s="4">
        <v>293.14999999999998</v>
      </c>
    </row>
    <row r="32" spans="2:14" ht="15.45" thickBot="1" x14ac:dyDescent="0.45">
      <c r="B32" s="18" t="s">
        <v>28</v>
      </c>
      <c r="C32" s="21" t="s">
        <v>38</v>
      </c>
      <c r="D32" s="21" t="s">
        <v>39</v>
      </c>
      <c r="E32" s="21" t="s">
        <v>46</v>
      </c>
      <c r="F32" s="21" t="s">
        <v>40</v>
      </c>
      <c r="G32" s="27" t="s">
        <v>41</v>
      </c>
      <c r="H32" s="1"/>
      <c r="I32" s="18" t="s">
        <v>28</v>
      </c>
      <c r="J32" s="21" t="s">
        <v>38</v>
      </c>
      <c r="K32" s="21" t="s">
        <v>39</v>
      </c>
      <c r="L32" s="21" t="s">
        <v>46</v>
      </c>
      <c r="M32" s="21" t="s">
        <v>40</v>
      </c>
      <c r="N32" s="27" t="s">
        <v>41</v>
      </c>
    </row>
    <row r="33" spans="2:14" x14ac:dyDescent="0.4">
      <c r="B33" s="9">
        <v>10</v>
      </c>
      <c r="C33" s="3">
        <v>342.88890913470937</v>
      </c>
      <c r="D33" s="3">
        <v>4.0000000000000001E-3</v>
      </c>
      <c r="E33" s="3">
        <v>1.3715556365388375</v>
      </c>
      <c r="F33" s="3">
        <v>294.26</v>
      </c>
      <c r="G33" s="4">
        <v>292.88844436346113</v>
      </c>
      <c r="H33" s="1"/>
      <c r="I33" s="9">
        <v>10</v>
      </c>
      <c r="J33" s="3">
        <v>167.29023494579735</v>
      </c>
      <c r="K33" s="3">
        <v>4.0000000000000001E-3</v>
      </c>
      <c r="L33" s="3">
        <v>0.66916093978318947</v>
      </c>
      <c r="M33" s="3">
        <v>294.26</v>
      </c>
      <c r="N33" s="4">
        <v>293.59083906021681</v>
      </c>
    </row>
    <row r="34" spans="2:14" x14ac:dyDescent="0.4">
      <c r="B34" s="10">
        <v>0.13800299752344614</v>
      </c>
      <c r="C34" s="5">
        <v>38.891313198148588</v>
      </c>
      <c r="D34" s="5">
        <v>0.2898487766050456</v>
      </c>
      <c r="E34" s="5">
        <v>11.272599551047032</v>
      </c>
      <c r="F34" s="5">
        <v>294.26</v>
      </c>
      <c r="G34" s="6">
        <v>282.98740044895294</v>
      </c>
      <c r="H34" s="1"/>
      <c r="I34" s="10">
        <v>0.12366665086903861</v>
      </c>
      <c r="J34" s="5">
        <v>17.561328006244274</v>
      </c>
      <c r="K34" s="5">
        <v>0.32345017608958687</v>
      </c>
      <c r="L34" s="5">
        <v>5.6802146359867036</v>
      </c>
      <c r="M34" s="5">
        <v>294.26</v>
      </c>
      <c r="N34" s="6">
        <v>288.57978536401328</v>
      </c>
    </row>
    <row r="35" spans="2:14" x14ac:dyDescent="0.4">
      <c r="B35" s="10">
        <v>0.1925868589028939</v>
      </c>
      <c r="C35" s="5">
        <v>52.153515455837194</v>
      </c>
      <c r="D35" s="5">
        <v>0.20769849110093641</v>
      </c>
      <c r="E35" s="5">
        <v>10.832206465786751</v>
      </c>
      <c r="F35" s="5">
        <v>294.26</v>
      </c>
      <c r="G35" s="6">
        <v>283.42779353421327</v>
      </c>
      <c r="H35" s="1"/>
      <c r="I35" s="10">
        <v>0.17278081005318435</v>
      </c>
      <c r="J35" s="5">
        <v>23.640236202370836</v>
      </c>
      <c r="K35" s="5">
        <v>0.23150719103404738</v>
      </c>
      <c r="L35" s="5">
        <v>5.4728846785922682</v>
      </c>
      <c r="M35" s="5">
        <v>294.26</v>
      </c>
      <c r="N35" s="6">
        <v>288.78711532140773</v>
      </c>
    </row>
    <row r="36" spans="2:14" x14ac:dyDescent="0.4">
      <c r="B36" s="10">
        <v>0.19135123554784733</v>
      </c>
      <c r="C36" s="5">
        <v>51.864741447504009</v>
      </c>
      <c r="D36" s="5">
        <v>0.20903967453086034</v>
      </c>
      <c r="E36" s="5">
        <v>10.841788671813461</v>
      </c>
      <c r="F36" s="5">
        <v>294.26</v>
      </c>
      <c r="G36" s="6">
        <v>283.41821132818654</v>
      </c>
      <c r="H36" s="1"/>
      <c r="I36" s="10">
        <v>0.17176225822752852</v>
      </c>
      <c r="J36" s="5">
        <v>23.518668014471363</v>
      </c>
      <c r="K36" s="5">
        <v>0.23288003087973583</v>
      </c>
      <c r="L36" s="5">
        <v>5.4770281334603466</v>
      </c>
      <c r="M36" s="5">
        <v>294.26</v>
      </c>
      <c r="N36" s="6">
        <v>288.78297186653964</v>
      </c>
    </row>
    <row r="37" spans="2:14" x14ac:dyDescent="0.4">
      <c r="B37" s="10">
        <v>0.19137855058474876</v>
      </c>
      <c r="C37" s="5">
        <v>51.871130675001645</v>
      </c>
      <c r="D37" s="5">
        <v>0.20900983876083162</v>
      </c>
      <c r="E37" s="5">
        <v>10.84157665872412</v>
      </c>
      <c r="F37" s="5">
        <v>294.26</v>
      </c>
      <c r="G37" s="6">
        <v>283.41842334127585</v>
      </c>
      <c r="H37" s="1"/>
      <c r="I37" s="10">
        <v>0.17178292204452897</v>
      </c>
      <c r="J37" s="5">
        <v>23.521136147773692</v>
      </c>
      <c r="K37" s="5">
        <v>0.23285201767397656</v>
      </c>
      <c r="L37" s="5">
        <v>5.4769440099934084</v>
      </c>
      <c r="M37" s="5">
        <v>294.26</v>
      </c>
      <c r="N37" s="6">
        <v>288.78305599000657</v>
      </c>
    </row>
    <row r="38" spans="2:14" ht="15" thickBot="1" x14ac:dyDescent="0.45">
      <c r="B38" s="39">
        <v>0.19137794643216863</v>
      </c>
      <c r="C38" s="40">
        <v>51.870989361092278</v>
      </c>
      <c r="D38" s="40">
        <v>0.20901049857475332</v>
      </c>
      <c r="E38" s="40">
        <v>10.841581347927622</v>
      </c>
      <c r="F38" s="40">
        <v>294.26</v>
      </c>
      <c r="G38" s="41">
        <v>283.41841865207238</v>
      </c>
      <c r="H38" s="1"/>
      <c r="I38" s="39">
        <v>0.17178250264037537</v>
      </c>
      <c r="J38" s="40">
        <v>23.521086053939698</v>
      </c>
      <c r="K38" s="40">
        <v>0.23285258617834625</v>
      </c>
      <c r="L38" s="40">
        <v>5.4769457173832921</v>
      </c>
      <c r="M38" s="40">
        <v>294.26</v>
      </c>
      <c r="N38" s="41">
        <v>288.78305428261672</v>
      </c>
    </row>
    <row r="39" spans="2:14" ht="15" thickBot="1" x14ac:dyDescent="0.45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</row>
    <row r="40" spans="2:14" ht="15" thickBot="1" x14ac:dyDescent="0.45">
      <c r="B40" s="33" t="s">
        <v>4</v>
      </c>
      <c r="C40" s="1"/>
      <c r="D40" s="1"/>
      <c r="E40" s="1"/>
      <c r="F40" s="9" t="s">
        <v>36</v>
      </c>
      <c r="G40" s="4">
        <v>297.59444444444443</v>
      </c>
      <c r="H40" s="1"/>
      <c r="I40" s="33" t="s">
        <v>10</v>
      </c>
      <c r="J40" s="1"/>
      <c r="K40" s="1"/>
      <c r="L40" s="1"/>
      <c r="M40" s="18" t="s">
        <v>36</v>
      </c>
      <c r="N40" s="27">
        <v>287.03888888888889</v>
      </c>
    </row>
    <row r="41" spans="2:14" ht="15.45" thickBot="1" x14ac:dyDescent="0.45">
      <c r="B41" s="18" t="s">
        <v>28</v>
      </c>
      <c r="C41" s="21" t="s">
        <v>38</v>
      </c>
      <c r="D41" s="21" t="s">
        <v>39</v>
      </c>
      <c r="E41" s="21" t="s">
        <v>46</v>
      </c>
      <c r="F41" s="21" t="s">
        <v>40</v>
      </c>
      <c r="G41" s="27" t="s">
        <v>41</v>
      </c>
      <c r="H41" s="1"/>
      <c r="I41" s="18" t="s">
        <v>28</v>
      </c>
      <c r="J41" s="21" t="s">
        <v>38</v>
      </c>
      <c r="K41" s="21" t="s">
        <v>39</v>
      </c>
      <c r="L41" s="21" t="s">
        <v>46</v>
      </c>
      <c r="M41" s="21" t="s">
        <v>40</v>
      </c>
      <c r="N41" s="27" t="s">
        <v>41</v>
      </c>
    </row>
    <row r="42" spans="2:14" x14ac:dyDescent="0.4">
      <c r="B42" s="9">
        <v>10</v>
      </c>
      <c r="C42" s="3">
        <v>501.19687059634833</v>
      </c>
      <c r="D42" s="3">
        <v>4.0000000000000001E-3</v>
      </c>
      <c r="E42" s="3">
        <v>2.0047874823853933</v>
      </c>
      <c r="F42" s="3">
        <v>294.26</v>
      </c>
      <c r="G42" s="4">
        <v>296.26478748238537</v>
      </c>
      <c r="H42" s="1"/>
      <c r="I42" s="9">
        <v>10</v>
      </c>
      <c r="J42" s="3">
        <v>1116.9564216976992</v>
      </c>
      <c r="K42" s="3">
        <v>4.0000000000000001E-3</v>
      </c>
      <c r="L42" s="3">
        <v>4.4678256867907971</v>
      </c>
      <c r="M42" s="3">
        <v>294.26</v>
      </c>
      <c r="N42" s="4">
        <v>289.79217431320922</v>
      </c>
    </row>
    <row r="43" spans="2:14" x14ac:dyDescent="0.4">
      <c r="B43" s="10">
        <v>0.14722863313181295</v>
      </c>
      <c r="C43" s="5">
        <v>61.663833245670254</v>
      </c>
      <c r="D43" s="5">
        <v>0.27168628241076065</v>
      </c>
      <c r="E43" s="5">
        <v>16.753217613713222</v>
      </c>
      <c r="F43" s="5">
        <v>294.26</v>
      </c>
      <c r="G43" s="6">
        <v>311.01321761371321</v>
      </c>
      <c r="H43" s="1"/>
      <c r="I43" s="10">
        <v>0.16512019963520297</v>
      </c>
      <c r="J43" s="5">
        <v>148.32784808328495</v>
      </c>
      <c r="K43" s="5">
        <v>0.24224776913043511</v>
      </c>
      <c r="L43" s="5">
        <v>35.932090298093861</v>
      </c>
      <c r="M43" s="5">
        <v>294.26</v>
      </c>
      <c r="N43" s="6">
        <v>258.32790970190615</v>
      </c>
    </row>
    <row r="44" spans="2:14" x14ac:dyDescent="0.4">
      <c r="B44" s="10">
        <v>0.20487742894115421</v>
      </c>
      <c r="C44" s="5">
        <v>82.211602122689953</v>
      </c>
      <c r="D44" s="5">
        <v>0.19523868591443996</v>
      </c>
      <c r="E44" s="5">
        <v>16.050885165354771</v>
      </c>
      <c r="F44" s="5">
        <v>294.26</v>
      </c>
      <c r="G44" s="6">
        <v>310.31088516535476</v>
      </c>
      <c r="H44" s="1"/>
      <c r="I44" s="10">
        <v>0.23191092269138877</v>
      </c>
      <c r="J44" s="5">
        <v>198.66428980904436</v>
      </c>
      <c r="K44" s="5">
        <v>0.17248001748166589</v>
      </c>
      <c r="L44" s="5">
        <v>34.26562017924671</v>
      </c>
      <c r="M44" s="5">
        <v>294.26</v>
      </c>
      <c r="N44" s="6">
        <v>259.9943798207533</v>
      </c>
    </row>
    <row r="45" spans="2:14" x14ac:dyDescent="0.4">
      <c r="B45" s="10">
        <v>0.20352580445072588</v>
      </c>
      <c r="C45" s="5">
        <v>81.749532582823193</v>
      </c>
      <c r="D45" s="5">
        <v>0.19653527525883877</v>
      </c>
      <c r="E45" s="5">
        <v>16.066666888446566</v>
      </c>
      <c r="F45" s="5">
        <v>294.26</v>
      </c>
      <c r="G45" s="6">
        <v>310.32666688844654</v>
      </c>
      <c r="H45" s="1"/>
      <c r="I45" s="10">
        <v>0.23004490419040483</v>
      </c>
      <c r="J45" s="5">
        <v>197.32127556233516</v>
      </c>
      <c r="K45" s="5">
        <v>0.17387909608679086</v>
      </c>
      <c r="L45" s="5">
        <v>34.310045033471411</v>
      </c>
      <c r="M45" s="5">
        <v>294.26</v>
      </c>
      <c r="N45" s="6">
        <v>259.94995496652859</v>
      </c>
    </row>
    <row r="46" spans="2:14" x14ac:dyDescent="0.4">
      <c r="B46" s="10">
        <v>0.20355673289660722</v>
      </c>
      <c r="C46" s="5">
        <v>81.760115985326422</v>
      </c>
      <c r="D46" s="5">
        <v>0.19650541365446872</v>
      </c>
      <c r="E46" s="5">
        <v>16.066305412133907</v>
      </c>
      <c r="F46" s="5">
        <v>294.26</v>
      </c>
      <c r="G46" s="6">
        <v>310.32630541213388</v>
      </c>
      <c r="H46" s="1"/>
      <c r="I46" s="10">
        <v>0.23009553388390461</v>
      </c>
      <c r="J46" s="5">
        <v>197.35776068483074</v>
      </c>
      <c r="K46" s="5">
        <v>0.17384083612931886</v>
      </c>
      <c r="L46" s="5">
        <v>34.308838134060991</v>
      </c>
      <c r="M46" s="5">
        <v>294.26</v>
      </c>
      <c r="N46" s="6">
        <v>259.95116186593901</v>
      </c>
    </row>
    <row r="47" spans="2:14" ht="15" thickBot="1" x14ac:dyDescent="0.45">
      <c r="B47" s="39">
        <v>0.20355602478240764</v>
      </c>
      <c r="C47" s="40">
        <v>81.759873681095939</v>
      </c>
      <c r="D47" s="40">
        <v>0.19650609724157378</v>
      </c>
      <c r="E47" s="40">
        <v>16.066313688036228</v>
      </c>
      <c r="F47" s="40">
        <v>294.26</v>
      </c>
      <c r="G47" s="41">
        <v>310.32631368803624</v>
      </c>
      <c r="H47" s="1"/>
      <c r="I47" s="10">
        <v>0.23009415907585148</v>
      </c>
      <c r="J47" s="5">
        <v>197.35676999487825</v>
      </c>
      <c r="K47" s="5">
        <v>0.17384187482487914</v>
      </c>
      <c r="L47" s="5">
        <v>34.308870905292089</v>
      </c>
      <c r="M47" s="5">
        <v>294.26</v>
      </c>
      <c r="N47" s="6">
        <v>259.95112909470788</v>
      </c>
    </row>
    <row r="48" spans="2:14" ht="15" thickBot="1" x14ac:dyDescent="0.45">
      <c r="B48" s="1"/>
      <c r="C48" s="1"/>
      <c r="D48" s="1"/>
      <c r="E48" s="1"/>
      <c r="F48" s="1"/>
      <c r="G48" s="1"/>
      <c r="H48" s="1"/>
      <c r="I48" s="39">
        <v>0.2300941964068326</v>
      </c>
      <c r="J48" s="40">
        <v>197.35679689569693</v>
      </c>
      <c r="K48" s="40">
        <v>0.17384184662039659</v>
      </c>
      <c r="L48" s="40">
        <v>34.308870015434508</v>
      </c>
      <c r="M48" s="40">
        <v>294.26</v>
      </c>
      <c r="N48" s="41">
        <v>259.95112998456545</v>
      </c>
    </row>
    <row r="49" spans="2:14" ht="15" thickBot="1" x14ac:dyDescent="0.45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</row>
    <row r="50" spans="2:14" ht="15" thickBot="1" x14ac:dyDescent="0.45">
      <c r="B50" s="33" t="s">
        <v>5</v>
      </c>
      <c r="C50" s="1"/>
      <c r="D50" s="1"/>
      <c r="E50" s="1"/>
      <c r="F50" s="9" t="s">
        <v>36</v>
      </c>
      <c r="G50" s="4">
        <v>302.03888888888889</v>
      </c>
      <c r="H50" s="1"/>
      <c r="I50" s="33" t="s">
        <v>11</v>
      </c>
      <c r="J50" s="1"/>
      <c r="K50" s="1"/>
      <c r="L50" s="1"/>
      <c r="M50" s="9" t="s">
        <v>36</v>
      </c>
      <c r="N50" s="4">
        <v>280.92777777777775</v>
      </c>
    </row>
    <row r="51" spans="2:14" ht="15.45" thickBot="1" x14ac:dyDescent="0.45">
      <c r="B51" s="18" t="s">
        <v>28</v>
      </c>
      <c r="C51" s="21" t="s">
        <v>38</v>
      </c>
      <c r="D51" s="21" t="s">
        <v>39</v>
      </c>
      <c r="E51" s="21" t="s">
        <v>46</v>
      </c>
      <c r="F51" s="21" t="s">
        <v>40</v>
      </c>
      <c r="G51" s="27" t="s">
        <v>41</v>
      </c>
      <c r="H51" s="1"/>
      <c r="I51" s="18" t="s">
        <v>28</v>
      </c>
      <c r="J51" s="21" t="s">
        <v>38</v>
      </c>
      <c r="K51" s="21" t="s">
        <v>39</v>
      </c>
      <c r="L51" s="21" t="s">
        <v>46</v>
      </c>
      <c r="M51" s="21" t="s">
        <v>40</v>
      </c>
      <c r="N51" s="27" t="s">
        <v>41</v>
      </c>
    </row>
    <row r="52" spans="2:14" x14ac:dyDescent="0.4">
      <c r="B52" s="9">
        <v>10</v>
      </c>
      <c r="C52" s="3">
        <v>1165.7140425349021</v>
      </c>
      <c r="D52" s="3">
        <v>4.0000000000000001E-3</v>
      </c>
      <c r="E52" s="3">
        <v>4.6628561701396087</v>
      </c>
      <c r="F52" s="3">
        <v>294.26</v>
      </c>
      <c r="G52" s="4">
        <v>298.9228561701396</v>
      </c>
      <c r="H52" s="1"/>
      <c r="I52" s="9">
        <v>10</v>
      </c>
      <c r="J52" s="3">
        <v>2067.0981199929424</v>
      </c>
      <c r="K52" s="3">
        <v>4.0000000000000001E-3</v>
      </c>
      <c r="L52" s="3">
        <v>8.2683924799717694</v>
      </c>
      <c r="M52" s="3">
        <v>294.26</v>
      </c>
      <c r="N52" s="4">
        <v>285.9916075200282</v>
      </c>
    </row>
    <row r="53" spans="2:14" x14ac:dyDescent="0.4">
      <c r="B53" s="10">
        <v>0.16866147668546599</v>
      </c>
      <c r="C53" s="5">
        <v>162.08970623974207</v>
      </c>
      <c r="D53" s="5">
        <v>0.23716144780704926</v>
      </c>
      <c r="E53" s="5">
        <v>38.441429406436534</v>
      </c>
      <c r="F53" s="5">
        <v>294.26</v>
      </c>
      <c r="G53" s="6">
        <v>332.70142940643655</v>
      </c>
      <c r="H53" s="1"/>
      <c r="I53" s="10">
        <v>0.18085636774438504</v>
      </c>
      <c r="J53" s="5">
        <v>296.65388103906452</v>
      </c>
      <c r="K53" s="5">
        <v>0.22116998421937983</v>
      </c>
      <c r="L53" s="5">
        <v>65.610934188027684</v>
      </c>
      <c r="M53" s="5">
        <v>294.26</v>
      </c>
      <c r="N53" s="6">
        <v>228.64906581197232</v>
      </c>
    </row>
    <row r="54" spans="2:14" x14ac:dyDescent="0.4">
      <c r="B54" s="10">
        <v>0.23356651997103936</v>
      </c>
      <c r="C54" s="5">
        <v>214.06485817026322</v>
      </c>
      <c r="D54" s="5">
        <v>0.17125742167567393</v>
      </c>
      <c r="E54" s="5">
        <v>36.660195681608101</v>
      </c>
      <c r="F54" s="5">
        <v>294.26</v>
      </c>
      <c r="G54" s="6">
        <v>330.92019568160811</v>
      </c>
      <c r="H54" s="1"/>
      <c r="I54" s="10">
        <v>0.25591703448571695</v>
      </c>
      <c r="J54" s="5">
        <v>398.30842186014451</v>
      </c>
      <c r="K54" s="5">
        <v>0.15630065454760672</v>
      </c>
      <c r="L54" s="5">
        <v>62.255867048564852</v>
      </c>
      <c r="M54" s="5">
        <v>294.26</v>
      </c>
      <c r="N54" s="6">
        <v>232.00413295143514</v>
      </c>
    </row>
    <row r="55" spans="2:14" x14ac:dyDescent="0.4">
      <c r="B55" s="10">
        <v>0.23190859188299182</v>
      </c>
      <c r="C55" s="5">
        <v>212.79705399257654</v>
      </c>
      <c r="D55" s="5">
        <v>0.17248175100033281</v>
      </c>
      <c r="E55" s="5">
        <v>36.70360848035196</v>
      </c>
      <c r="F55" s="5">
        <v>294.26</v>
      </c>
      <c r="G55" s="6">
        <v>330.96360848035192</v>
      </c>
      <c r="H55" s="1"/>
      <c r="I55" s="10">
        <v>0.25350644526708382</v>
      </c>
      <c r="J55" s="5">
        <v>395.2051118510247</v>
      </c>
      <c r="K55" s="5">
        <v>0.15778691527096153</v>
      </c>
      <c r="L55" s="5">
        <v>62.358195498288509</v>
      </c>
      <c r="M55" s="5">
        <v>294.26</v>
      </c>
      <c r="N55" s="6">
        <v>231.90180450171147</v>
      </c>
    </row>
    <row r="56" spans="2:14" x14ac:dyDescent="0.4">
      <c r="B56" s="10">
        <v>0.23194985595609324</v>
      </c>
      <c r="C56" s="5">
        <v>212.82864462450618</v>
      </c>
      <c r="D56" s="5">
        <v>0.17245106635277138</v>
      </c>
      <c r="E56" s="5">
        <v>36.702526715911112</v>
      </c>
      <c r="F56" s="5">
        <v>294.26</v>
      </c>
      <c r="G56" s="6">
        <v>330.96252671591111</v>
      </c>
      <c r="H56" s="1"/>
      <c r="I56" s="10">
        <v>0.25358128104948868</v>
      </c>
      <c r="J56" s="5">
        <v>395.30160583050218</v>
      </c>
      <c r="K56" s="5">
        <v>0.15774034989670094</v>
      </c>
      <c r="L56" s="5">
        <v>62.355013618431173</v>
      </c>
      <c r="M56" s="5">
        <v>294.26</v>
      </c>
      <c r="N56" s="6">
        <v>231.90498638156882</v>
      </c>
    </row>
    <row r="57" spans="2:14" x14ac:dyDescent="0.4">
      <c r="B57" s="10">
        <v>0.23194882826865776</v>
      </c>
      <c r="C57" s="5">
        <v>212.82785787800341</v>
      </c>
      <c r="D57" s="5">
        <v>0.17245183042558629</v>
      </c>
      <c r="E57" s="5">
        <v>36.702553656618221</v>
      </c>
      <c r="F57" s="5">
        <v>294.26</v>
      </c>
      <c r="G57" s="6">
        <v>330.96255365661818</v>
      </c>
      <c r="H57" s="1"/>
      <c r="I57" s="10">
        <v>0.25357895533430796</v>
      </c>
      <c r="J57" s="5">
        <v>395.29860717872464</v>
      </c>
      <c r="K57" s="5">
        <v>0.15774179662214344</v>
      </c>
      <c r="L57" s="5">
        <v>62.355112498602949</v>
      </c>
      <c r="M57" s="5">
        <v>294.26</v>
      </c>
      <c r="N57" s="6">
        <v>231.90488750139704</v>
      </c>
    </row>
    <row r="58" spans="2:14" ht="15" thickBot="1" x14ac:dyDescent="0.45">
      <c r="B58" s="39">
        <v>0.23194885386294034</v>
      </c>
      <c r="C58" s="40">
        <v>212.82787747173003</v>
      </c>
      <c r="D58" s="40">
        <v>0.17245181139647359</v>
      </c>
      <c r="E58" s="40">
        <v>36.702552985666578</v>
      </c>
      <c r="F58" s="40">
        <v>294.26</v>
      </c>
      <c r="G58" s="41">
        <v>330.96255298566655</v>
      </c>
      <c r="H58" s="1"/>
      <c r="I58" s="39">
        <v>0.25357902760952838</v>
      </c>
      <c r="J58" s="40">
        <v>395.29870036664045</v>
      </c>
      <c r="K58" s="40">
        <v>0.15774175166249818</v>
      </c>
      <c r="L58" s="40">
        <v>62.355109425742874</v>
      </c>
      <c r="M58" s="40">
        <v>294.26</v>
      </c>
      <c r="N58" s="41">
        <v>231.90489057425711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F8DC1-8298-48F6-98A7-287F99C5EF9F}">
  <sheetPr>
    <pageSetUpPr fitToPage="1"/>
  </sheetPr>
  <dimension ref="A1:P43"/>
  <sheetViews>
    <sheetView workbookViewId="0"/>
  </sheetViews>
  <sheetFormatPr defaultColWidth="9.15234375" defaultRowHeight="14.6" x14ac:dyDescent="0.4"/>
  <cols>
    <col min="1" max="1" width="9.15234375" style="1"/>
    <col min="2" max="2" width="11" style="1" customWidth="1"/>
    <col min="3" max="8" width="9.15234375" style="1"/>
    <col min="9" max="9" width="10.53515625" style="1" customWidth="1"/>
    <col min="10" max="16384" width="9.15234375" style="1"/>
  </cols>
  <sheetData>
    <row r="1" spans="1:16" x14ac:dyDescent="0.4">
      <c r="A1" s="34" t="s">
        <v>28</v>
      </c>
      <c r="B1" s="9">
        <v>0.25357902760952838</v>
      </c>
      <c r="C1" s="42" t="s">
        <v>43</v>
      </c>
    </row>
    <row r="2" spans="1:16" x14ac:dyDescent="0.4">
      <c r="A2" s="35" t="s">
        <v>35</v>
      </c>
      <c r="B2" s="10">
        <v>13.488836684638745</v>
      </c>
      <c r="C2" s="43" t="s">
        <v>43</v>
      </c>
    </row>
    <row r="3" spans="1:16" ht="15" thickBot="1" x14ac:dyDescent="0.45">
      <c r="A3" s="35" t="s">
        <v>36</v>
      </c>
      <c r="B3" s="10">
        <v>280.92777777777775</v>
      </c>
      <c r="C3" s="45" t="s">
        <v>12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</row>
    <row r="4" spans="1:16" ht="15" thickBot="1" x14ac:dyDescent="0.45">
      <c r="A4" s="9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4"/>
      <c r="P4" s="5"/>
    </row>
    <row r="5" spans="1:16" ht="15" thickBot="1" x14ac:dyDescent="0.45">
      <c r="A5" s="10"/>
      <c r="B5" s="5"/>
      <c r="C5" s="5"/>
      <c r="D5" s="5"/>
      <c r="E5" s="5"/>
      <c r="F5" s="5"/>
      <c r="G5" s="5"/>
      <c r="H5" s="36">
        <f>1/(B1*46)</f>
        <v>8.5729212860053375E-2</v>
      </c>
      <c r="I5" s="5"/>
      <c r="J5" s="36">
        <v>2.623E-2</v>
      </c>
      <c r="K5" s="5"/>
      <c r="L5" s="36">
        <f>1/(B2*46)</f>
        <v>1.6116386418659366E-3</v>
      </c>
      <c r="M5" s="5"/>
      <c r="N5" s="5"/>
      <c r="O5" s="6"/>
      <c r="P5" s="5"/>
    </row>
    <row r="6" spans="1:16" ht="15" thickBot="1" x14ac:dyDescent="0.45">
      <c r="A6" s="10"/>
      <c r="B6" s="5"/>
      <c r="C6" s="5"/>
      <c r="D6" s="36">
        <f>1/(B1*28)</f>
        <v>0.14084084969865912</v>
      </c>
      <c r="E6" s="5"/>
      <c r="F6" s="36">
        <v>1.2841E-2</v>
      </c>
      <c r="G6" s="5"/>
      <c r="H6" s="5"/>
      <c r="I6" s="5"/>
      <c r="J6" s="5"/>
      <c r="K6" s="5"/>
      <c r="L6" s="5"/>
      <c r="M6" s="5"/>
      <c r="N6" s="5">
        <f>B3</f>
        <v>280.92777777777775</v>
      </c>
      <c r="O6" s="45" t="s">
        <v>12</v>
      </c>
      <c r="P6" s="5"/>
    </row>
    <row r="7" spans="1:16" ht="15" thickBot="1" x14ac:dyDescent="0.45">
      <c r="A7" s="10"/>
      <c r="B7" s="5"/>
      <c r="C7" s="5"/>
      <c r="D7" s="5"/>
      <c r="E7" s="5"/>
      <c r="F7" s="5"/>
      <c r="G7" s="5"/>
      <c r="H7" s="36">
        <f>1/(B1*0.375)</f>
        <v>10.51611677749988</v>
      </c>
      <c r="I7" s="5"/>
      <c r="J7" s="36">
        <v>5.0180000000000002E-2</v>
      </c>
      <c r="K7" s="5"/>
      <c r="L7" s="36">
        <f>1/(B2*0.375)</f>
        <v>0.1976943400688882</v>
      </c>
      <c r="M7" s="5"/>
      <c r="N7" s="5"/>
      <c r="O7" s="6"/>
      <c r="P7" s="5"/>
    </row>
    <row r="8" spans="1:16" ht="15" thickBot="1" x14ac:dyDescent="0.45">
      <c r="A8" s="10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6"/>
      <c r="P8" s="5"/>
    </row>
    <row r="9" spans="1:16" ht="15" thickBot="1" x14ac:dyDescent="0.45">
      <c r="A9" s="10"/>
      <c r="B9" s="5"/>
      <c r="C9" s="5"/>
      <c r="D9" s="36">
        <f>1/(B1*25)</f>
        <v>0.15774175166249818</v>
      </c>
      <c r="E9" s="5"/>
      <c r="F9" s="36">
        <v>2.8809999999999999E-2</v>
      </c>
      <c r="G9" s="5"/>
      <c r="H9" s="36">
        <f>1/(B2*25)</f>
        <v>2.9654151010333231E-3</v>
      </c>
      <c r="I9" s="5"/>
      <c r="J9" s="5"/>
      <c r="K9" s="5"/>
      <c r="L9" s="5"/>
      <c r="M9" s="5"/>
      <c r="N9" s="5"/>
      <c r="O9" s="6"/>
      <c r="P9" s="5"/>
    </row>
    <row r="10" spans="1:16" ht="15" thickBot="1" x14ac:dyDescent="0.45">
      <c r="A10" s="10"/>
      <c r="B10" s="5"/>
      <c r="C10" s="5"/>
      <c r="D10" s="36">
        <f>1/(B1*31)</f>
        <v>0.12721109005040176</v>
      </c>
      <c r="E10" s="5"/>
      <c r="F10" s="36">
        <v>2.9770000000000001E-2</v>
      </c>
      <c r="G10" s="5"/>
      <c r="H10" s="36">
        <f>1/(B2*31)</f>
        <v>2.3914637911559059E-3</v>
      </c>
      <c r="I10" s="5"/>
      <c r="J10" s="5"/>
      <c r="K10" s="5"/>
      <c r="L10" s="5"/>
      <c r="M10" s="5"/>
      <c r="N10" s="5"/>
      <c r="O10" s="6"/>
      <c r="P10" s="5"/>
    </row>
    <row r="11" spans="1:16" ht="15" thickBot="1" x14ac:dyDescent="0.45">
      <c r="A11" s="18">
        <v>294.26</v>
      </c>
      <c r="B11" s="28" t="s">
        <v>12</v>
      </c>
      <c r="C11" s="5"/>
      <c r="D11" s="36">
        <f>1/(B1*22)</f>
        <v>0.17925199052556615</v>
      </c>
      <c r="E11" s="5"/>
      <c r="F11" s="36">
        <v>3.0099999999999998E-2</v>
      </c>
      <c r="G11" s="5"/>
      <c r="H11" s="36">
        <f>1/(B2*22)</f>
        <v>3.3697898875378672E-3</v>
      </c>
      <c r="I11" s="5"/>
      <c r="J11" s="5">
        <f>B3</f>
        <v>280.92777777777775</v>
      </c>
      <c r="K11" s="44" t="s">
        <v>12</v>
      </c>
      <c r="L11" s="5"/>
      <c r="M11" s="5"/>
      <c r="N11" s="5"/>
      <c r="O11" s="6"/>
      <c r="P11" s="5"/>
    </row>
    <row r="12" spans="1:16" ht="15" thickBot="1" x14ac:dyDescent="0.45">
      <c r="A12" s="10"/>
      <c r="B12" s="5"/>
      <c r="C12" s="5"/>
      <c r="D12" s="36">
        <f>1/(B1*28)</f>
        <v>0.14084084969865912</v>
      </c>
      <c r="E12" s="5"/>
      <c r="F12" s="36">
        <v>3.0329999999999999E-2</v>
      </c>
      <c r="G12" s="5"/>
      <c r="H12" s="36">
        <f>1/(B2*28)</f>
        <v>2.6476920544940383E-3</v>
      </c>
      <c r="I12" s="5"/>
      <c r="J12" s="5"/>
      <c r="K12" s="5"/>
      <c r="L12" s="5"/>
      <c r="M12" s="5"/>
      <c r="N12" s="5"/>
      <c r="O12" s="6"/>
      <c r="P12" s="5"/>
    </row>
    <row r="13" spans="1:16" ht="15" thickBot="1" x14ac:dyDescent="0.45">
      <c r="A13" s="10"/>
      <c r="B13" s="5"/>
      <c r="C13" s="5"/>
      <c r="D13" s="36">
        <f>1/(B1*18)</f>
        <v>0.21908576619791417</v>
      </c>
      <c r="E13" s="5"/>
      <c r="F13" s="36">
        <v>3.4119999999999998E-2</v>
      </c>
      <c r="G13" s="5"/>
      <c r="H13" s="36">
        <f>1/(B2*18)</f>
        <v>4.1186320847685044E-3</v>
      </c>
      <c r="I13" s="5"/>
      <c r="J13" s="5"/>
      <c r="K13" s="5"/>
      <c r="L13" s="5"/>
      <c r="M13" s="5"/>
      <c r="N13" s="5"/>
      <c r="O13" s="6"/>
      <c r="P13" s="5"/>
    </row>
    <row r="14" spans="1:16" ht="15" thickBot="1" x14ac:dyDescent="0.45">
      <c r="A14" s="10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6"/>
      <c r="P14" s="5"/>
    </row>
    <row r="15" spans="1:16" ht="15" thickBot="1" x14ac:dyDescent="0.45">
      <c r="A15" s="10"/>
      <c r="B15" s="5"/>
      <c r="C15" s="5"/>
      <c r="D15" s="5"/>
      <c r="E15" s="5"/>
      <c r="F15" s="5"/>
      <c r="G15" s="5"/>
      <c r="H15" s="36">
        <f>1/(B1*86)</f>
        <v>4.5855160367005286E-2</v>
      </c>
      <c r="I15" s="5"/>
      <c r="J15" s="36">
        <v>3.5499999999999997E-2</v>
      </c>
      <c r="K15" s="5"/>
      <c r="L15" s="5"/>
      <c r="M15" s="5"/>
      <c r="N15" s="5"/>
      <c r="O15" s="6"/>
      <c r="P15" s="5"/>
    </row>
    <row r="16" spans="1:16" ht="15" thickBot="1" x14ac:dyDescent="0.45">
      <c r="A16" s="10"/>
      <c r="B16" s="5"/>
      <c r="C16" s="5"/>
      <c r="D16" s="36">
        <f>1/(B1*35)</f>
        <v>0.11267267975892728</v>
      </c>
      <c r="E16" s="5"/>
      <c r="F16" s="36">
        <v>1.2841E-2</v>
      </c>
      <c r="G16" s="5"/>
      <c r="H16" s="5"/>
      <c r="I16" s="5"/>
      <c r="J16" s="5"/>
      <c r="K16" s="5"/>
      <c r="L16" s="5">
        <v>291</v>
      </c>
      <c r="M16" s="44" t="s">
        <v>12</v>
      </c>
      <c r="N16" s="5"/>
      <c r="O16" s="6"/>
      <c r="P16" s="5"/>
    </row>
    <row r="17" spans="1:16" ht="15" thickBot="1" x14ac:dyDescent="0.45">
      <c r="A17" s="10"/>
      <c r="B17" s="5"/>
      <c r="C17" s="5"/>
      <c r="D17" s="5"/>
      <c r="E17" s="5"/>
      <c r="F17" s="5"/>
      <c r="G17" s="5"/>
      <c r="H17" s="36">
        <f>1/(B1*35)</f>
        <v>0.11267267975892728</v>
      </c>
      <c r="I17" s="5"/>
      <c r="J17" s="36">
        <v>4.1509999999999998E-2</v>
      </c>
      <c r="K17" s="5"/>
      <c r="L17" s="5"/>
      <c r="M17" s="5"/>
      <c r="N17" s="5"/>
      <c r="O17" s="6"/>
      <c r="P17" s="5"/>
    </row>
    <row r="18" spans="1:16" ht="15" thickBot="1" x14ac:dyDescent="0.45">
      <c r="A18" s="14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8"/>
      <c r="P18" s="10"/>
    </row>
    <row r="19" spans="1:16" ht="15" thickBot="1" x14ac:dyDescent="0.45">
      <c r="A19" s="10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6"/>
      <c r="P19" s="10"/>
    </row>
    <row r="20" spans="1:16" ht="15" thickBot="1" x14ac:dyDescent="0.45">
      <c r="A20" s="10"/>
      <c r="B20" s="5"/>
      <c r="C20" s="5"/>
      <c r="D20" s="36">
        <f>D6+F6</f>
        <v>0.15368184969865911</v>
      </c>
      <c r="E20" s="5"/>
      <c r="F20" s="36">
        <f>((1/(H5+J5+L5))+(1/(H7+J7+L7)))^-1</f>
        <v>0.11238507675317079</v>
      </c>
      <c r="G20" s="5"/>
      <c r="H20" s="5">
        <f>N6</f>
        <v>280.92777777777775</v>
      </c>
      <c r="I20" s="44" t="s">
        <v>12</v>
      </c>
      <c r="J20" s="5"/>
      <c r="K20" s="5"/>
      <c r="L20" s="5"/>
      <c r="M20" s="5"/>
      <c r="N20" s="5"/>
      <c r="O20" s="6"/>
      <c r="P20" s="10"/>
    </row>
    <row r="21" spans="1:16" ht="15" thickBot="1" x14ac:dyDescent="0.45">
      <c r="A21" s="10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6"/>
      <c r="P21" s="10"/>
    </row>
    <row r="22" spans="1:16" ht="15" thickBot="1" x14ac:dyDescent="0.45">
      <c r="A22" s="10"/>
      <c r="B22" s="5"/>
      <c r="C22" s="5"/>
      <c r="D22" s="36">
        <f>D9+F9+H9</f>
        <v>0.1895171667635315</v>
      </c>
      <c r="E22" s="5"/>
      <c r="F22" s="5"/>
      <c r="G22" s="5"/>
      <c r="H22" s="5"/>
      <c r="I22" s="5"/>
      <c r="J22" s="5"/>
      <c r="K22" s="5"/>
      <c r="L22" s="5"/>
      <c r="M22" s="5"/>
      <c r="N22" s="5"/>
      <c r="O22" s="6"/>
      <c r="P22" s="10"/>
    </row>
    <row r="23" spans="1:16" ht="15" thickBot="1" x14ac:dyDescent="0.45">
      <c r="A23" s="10"/>
      <c r="B23" s="5"/>
      <c r="C23" s="5"/>
      <c r="D23" s="36">
        <f>D10+F10+H10</f>
        <v>0.15937255384155766</v>
      </c>
      <c r="E23" s="5"/>
      <c r="F23" s="5"/>
      <c r="G23" s="5"/>
      <c r="H23" s="5"/>
      <c r="I23" s="5"/>
      <c r="J23" s="5"/>
      <c r="K23" s="5"/>
      <c r="L23" s="5"/>
      <c r="M23" s="5"/>
      <c r="N23" s="5"/>
      <c r="O23" s="6"/>
      <c r="P23" s="10"/>
    </row>
    <row r="24" spans="1:16" ht="15" thickBot="1" x14ac:dyDescent="0.45">
      <c r="A24" s="18">
        <f>A11</f>
        <v>294.26</v>
      </c>
      <c r="B24" s="28" t="s">
        <v>12</v>
      </c>
      <c r="C24" s="5"/>
      <c r="D24" s="36">
        <f>D11+F11+H11</f>
        <v>0.21272178041310399</v>
      </c>
      <c r="E24" s="5"/>
      <c r="F24" s="5">
        <f>J11</f>
        <v>280.92777777777775</v>
      </c>
      <c r="G24" s="44" t="s">
        <v>12</v>
      </c>
      <c r="H24" s="5"/>
      <c r="I24" s="5"/>
      <c r="J24" s="5"/>
      <c r="K24" s="5"/>
      <c r="L24" s="5"/>
      <c r="M24" s="5"/>
      <c r="N24" s="5"/>
      <c r="O24" s="6"/>
      <c r="P24" s="10"/>
    </row>
    <row r="25" spans="1:16" ht="15" thickBot="1" x14ac:dyDescent="0.45">
      <c r="A25" s="10"/>
      <c r="B25" s="5"/>
      <c r="C25" s="5"/>
      <c r="D25" s="36">
        <f>D12+F12+H12</f>
        <v>0.17381854175315314</v>
      </c>
      <c r="E25" s="5"/>
      <c r="F25" s="5"/>
      <c r="G25" s="5"/>
      <c r="H25" s="5"/>
      <c r="I25" s="5"/>
      <c r="J25" s="5"/>
      <c r="K25" s="5"/>
      <c r="L25" s="5"/>
      <c r="M25" s="5"/>
      <c r="N25" s="5"/>
      <c r="O25" s="6"/>
      <c r="P25" s="10"/>
    </row>
    <row r="26" spans="1:16" ht="15" thickBot="1" x14ac:dyDescent="0.45">
      <c r="A26" s="10"/>
      <c r="B26" s="5"/>
      <c r="C26" s="5"/>
      <c r="D26" s="36">
        <f>D13+F13+H13</f>
        <v>0.25732439828268266</v>
      </c>
      <c r="E26" s="5"/>
      <c r="F26" s="5"/>
      <c r="G26" s="5"/>
      <c r="H26" s="5"/>
      <c r="I26" s="5"/>
      <c r="J26" s="5"/>
      <c r="K26" s="5"/>
      <c r="L26" s="5"/>
      <c r="M26" s="5"/>
      <c r="N26" s="5"/>
      <c r="O26" s="6"/>
      <c r="P26" s="10"/>
    </row>
    <row r="27" spans="1:16" ht="15" thickBot="1" x14ac:dyDescent="0.45">
      <c r="A27" s="10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6"/>
      <c r="P27" s="10"/>
    </row>
    <row r="28" spans="1:16" ht="15" thickBot="1" x14ac:dyDescent="0.45">
      <c r="A28" s="10"/>
      <c r="B28" s="5"/>
      <c r="C28" s="5"/>
      <c r="D28" s="36">
        <f>D16+F16</f>
        <v>0.12551367975892727</v>
      </c>
      <c r="E28" s="5"/>
      <c r="F28" s="36">
        <f>((1/(H15+J15))+(1/(H17+J17)))^-1</f>
        <v>5.3254953135749288E-2</v>
      </c>
      <c r="G28" s="5"/>
      <c r="H28" s="5">
        <f>L16</f>
        <v>291</v>
      </c>
      <c r="I28" s="44" t="s">
        <v>12</v>
      </c>
      <c r="J28" s="5"/>
      <c r="K28" s="5"/>
      <c r="L28" s="5"/>
      <c r="M28" s="5"/>
      <c r="N28" s="5"/>
      <c r="O28" s="6"/>
      <c r="P28" s="10"/>
    </row>
    <row r="29" spans="1:16" ht="15" thickBot="1" x14ac:dyDescent="0.45">
      <c r="A29" s="14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8"/>
      <c r="P29" s="10"/>
    </row>
    <row r="30" spans="1:16" ht="15" thickBot="1" x14ac:dyDescent="0.45">
      <c r="A30" s="10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6"/>
      <c r="P30" s="10"/>
    </row>
    <row r="31" spans="1:16" ht="15" thickBot="1" x14ac:dyDescent="0.45">
      <c r="A31" s="10"/>
      <c r="B31" s="5"/>
      <c r="C31" s="5"/>
      <c r="D31" s="36">
        <f>D20+F20</f>
        <v>0.26606692645182989</v>
      </c>
      <c r="E31" s="5"/>
      <c r="F31" s="5">
        <f>H20</f>
        <v>280.92777777777775</v>
      </c>
      <c r="G31" s="44" t="s">
        <v>12</v>
      </c>
      <c r="H31" s="5"/>
      <c r="I31" s="5"/>
      <c r="J31" s="5"/>
      <c r="K31" s="5"/>
      <c r="L31" s="5"/>
      <c r="M31" s="5"/>
      <c r="N31" s="5"/>
      <c r="O31" s="6"/>
      <c r="P31" s="10"/>
    </row>
    <row r="32" spans="1:16" ht="15" thickBot="1" x14ac:dyDescent="0.45">
      <c r="A32" s="10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6"/>
      <c r="P32" s="10"/>
    </row>
    <row r="33" spans="1:16" ht="15" thickBot="1" x14ac:dyDescent="0.45">
      <c r="A33" s="18">
        <f>A24</f>
        <v>294.26</v>
      </c>
      <c r="B33" s="28" t="s">
        <v>12</v>
      </c>
      <c r="C33" s="5"/>
      <c r="D33" s="36">
        <f>((1/D22)+(1/D23)+(1/D24)+(1/D25)+(1/D26))^-1</f>
        <v>3.8622832620467527E-2</v>
      </c>
      <c r="E33" s="5"/>
      <c r="F33" s="5">
        <f>F24</f>
        <v>280.92777777777775</v>
      </c>
      <c r="G33" s="44" t="s">
        <v>12</v>
      </c>
      <c r="H33" s="5"/>
      <c r="I33" s="5"/>
      <c r="J33" s="5"/>
      <c r="K33" s="5"/>
      <c r="L33" s="5"/>
      <c r="M33" s="5"/>
      <c r="N33" s="5"/>
      <c r="O33" s="6"/>
      <c r="P33" s="10"/>
    </row>
    <row r="34" spans="1:16" ht="15" thickBot="1" x14ac:dyDescent="0.45">
      <c r="A34" s="10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6"/>
      <c r="P34" s="10"/>
    </row>
    <row r="35" spans="1:16" ht="15" thickBot="1" x14ac:dyDescent="0.45">
      <c r="A35" s="10"/>
      <c r="B35" s="5"/>
      <c r="C35" s="5"/>
      <c r="D35" s="36">
        <f>D28+F28</f>
        <v>0.17876863289467657</v>
      </c>
      <c r="E35" s="5"/>
      <c r="F35" s="5">
        <f>H28</f>
        <v>291</v>
      </c>
      <c r="G35" s="44" t="s">
        <v>12</v>
      </c>
      <c r="H35" s="5"/>
      <c r="I35" s="5"/>
      <c r="J35" s="5"/>
      <c r="K35" s="5"/>
      <c r="L35" s="5"/>
      <c r="M35" s="5"/>
      <c r="N35" s="5"/>
      <c r="O35" s="6"/>
      <c r="P35" s="10"/>
    </row>
    <row r="36" spans="1:16" x14ac:dyDescent="0.4">
      <c r="A36" s="10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6"/>
      <c r="P36" s="10"/>
    </row>
    <row r="37" spans="1:16" x14ac:dyDescent="0.4">
      <c r="A37" s="10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6"/>
      <c r="P37" s="10"/>
    </row>
    <row r="38" spans="1:16" ht="15" thickBot="1" x14ac:dyDescent="0.45">
      <c r="A38" s="14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8"/>
      <c r="P38" s="10"/>
    </row>
    <row r="39" spans="1:16" ht="15" thickBot="1" x14ac:dyDescent="0.45">
      <c r="A39" s="10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6"/>
      <c r="P39" s="10"/>
    </row>
    <row r="40" spans="1:16" ht="15" thickBot="1" x14ac:dyDescent="0.45">
      <c r="A40" s="18">
        <f>A33</f>
        <v>294.26</v>
      </c>
      <c r="B40" s="28" t="s">
        <v>12</v>
      </c>
      <c r="C40" s="5"/>
      <c r="D40" s="36">
        <f>((1/D31)+(1/D33))^-1</f>
        <v>3.3726956880598333E-2</v>
      </c>
      <c r="E40" s="5"/>
      <c r="F40" s="5">
        <f>F31</f>
        <v>280.92777777777775</v>
      </c>
      <c r="G40" s="44" t="s">
        <v>12</v>
      </c>
      <c r="H40" s="5"/>
      <c r="I40" s="37">
        <f>ABS(A40-F40)/D40</f>
        <v>395.29870036664045</v>
      </c>
      <c r="J40" s="38" t="s">
        <v>37</v>
      </c>
      <c r="K40" s="5"/>
      <c r="L40" s="5"/>
      <c r="M40" s="5"/>
      <c r="N40" s="5"/>
      <c r="O40" s="6"/>
      <c r="P40" s="10"/>
    </row>
    <row r="41" spans="1:16" ht="15" thickBot="1" x14ac:dyDescent="0.45">
      <c r="A41" s="10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6"/>
      <c r="P41" s="5"/>
    </row>
    <row r="42" spans="1:16" ht="15" thickBot="1" x14ac:dyDescent="0.45">
      <c r="A42" s="18">
        <f>A33</f>
        <v>294.26</v>
      </c>
      <c r="B42" s="28" t="s">
        <v>12</v>
      </c>
      <c r="C42" s="5"/>
      <c r="D42" s="36">
        <f>D35</f>
        <v>0.17876863289467657</v>
      </c>
      <c r="E42" s="5"/>
      <c r="F42" s="5">
        <f>F35</f>
        <v>291</v>
      </c>
      <c r="G42" s="44" t="s">
        <v>12</v>
      </c>
      <c r="H42" s="5"/>
      <c r="I42" s="37">
        <f>ABS(A42-F42)/D42</f>
        <v>18.235861332120017</v>
      </c>
      <c r="J42" s="38" t="s">
        <v>37</v>
      </c>
      <c r="K42" s="5"/>
      <c r="L42" s="5"/>
      <c r="M42" s="5"/>
      <c r="N42" s="5"/>
      <c r="O42" s="6"/>
      <c r="P42" s="5"/>
    </row>
    <row r="43" spans="1:16" ht="15" thickBot="1" x14ac:dyDescent="0.45">
      <c r="A43" s="14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8"/>
      <c r="P43" s="5"/>
    </row>
  </sheetData>
  <pageMargins left="0.7" right="0.7" top="0.75" bottom="0.75" header="0.3" footer="0.3"/>
  <pageSetup scale="76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B94ED-BBA5-416E-8779-71A203B4C5E2}">
  <sheetPr>
    <pageSetUpPr fitToPage="1"/>
  </sheetPr>
  <dimension ref="A1:AF17"/>
  <sheetViews>
    <sheetView workbookViewId="0"/>
  </sheetViews>
  <sheetFormatPr defaultColWidth="9.15234375" defaultRowHeight="14.6" x14ac:dyDescent="0.4"/>
  <cols>
    <col min="1" max="1" width="13.53515625" style="1" customWidth="1"/>
    <col min="2" max="3" width="9.69140625" style="1" customWidth="1"/>
    <col min="4" max="4" width="10.53515625" style="1" hidden="1" customWidth="1"/>
    <col min="5" max="5" width="10.53515625" style="1" customWidth="1"/>
    <col min="6" max="6" width="10.53515625" style="1" hidden="1" customWidth="1"/>
    <col min="7" max="7" width="10.53515625" style="1" customWidth="1"/>
    <col min="8" max="8" width="10.15234375" style="1" hidden="1" customWidth="1"/>
    <col min="9" max="9" width="8.53515625" style="1" hidden="1" customWidth="1"/>
    <col min="10" max="11" width="13" style="1" hidden="1" customWidth="1"/>
    <col min="12" max="13" width="13.53515625" style="1" hidden="1" customWidth="1"/>
    <col min="14" max="15" width="12" style="1" hidden="1" customWidth="1"/>
    <col min="16" max="16" width="13" style="1" hidden="1" customWidth="1"/>
    <col min="17" max="17" width="12.3046875" style="1" hidden="1" customWidth="1"/>
    <col min="18" max="18" width="12.53515625" style="1" hidden="1" customWidth="1"/>
    <col min="19" max="19" width="9.15234375" style="1" customWidth="1"/>
    <col min="20" max="23" width="11.3828125" style="1" customWidth="1"/>
    <col min="24" max="24" width="14.15234375" style="1" customWidth="1"/>
    <col min="25" max="25" width="9.15234375" style="1"/>
    <col min="26" max="26" width="11" style="1" customWidth="1"/>
    <col min="27" max="27" width="12.53515625" style="1" customWidth="1"/>
    <col min="28" max="16384" width="9.15234375" style="1"/>
  </cols>
  <sheetData>
    <row r="1" spans="1:32" s="2" customFormat="1" ht="51.75" customHeight="1" thickBot="1" x14ac:dyDescent="0.45">
      <c r="A1" s="50"/>
      <c r="B1" s="19" t="s">
        <v>32</v>
      </c>
      <c r="C1" s="19" t="s">
        <v>57</v>
      </c>
      <c r="D1" s="19" t="s">
        <v>29</v>
      </c>
      <c r="E1" s="19" t="s">
        <v>14</v>
      </c>
      <c r="F1" s="19" t="s">
        <v>13</v>
      </c>
      <c r="G1" s="19" t="s">
        <v>18</v>
      </c>
      <c r="H1" s="19" t="s">
        <v>19</v>
      </c>
      <c r="I1" s="19" t="s">
        <v>21</v>
      </c>
      <c r="J1" s="19" t="s">
        <v>22</v>
      </c>
      <c r="K1" s="19" t="s">
        <v>23</v>
      </c>
      <c r="L1" s="19" t="s">
        <v>24</v>
      </c>
      <c r="M1" s="19" t="s">
        <v>25</v>
      </c>
      <c r="N1" s="19" t="s">
        <v>20</v>
      </c>
      <c r="O1" s="19" t="s">
        <v>33</v>
      </c>
      <c r="P1" s="19" t="s">
        <v>26</v>
      </c>
      <c r="Q1" s="19" t="s">
        <v>27</v>
      </c>
      <c r="R1" s="19" t="s">
        <v>34</v>
      </c>
      <c r="S1" s="19" t="s">
        <v>44</v>
      </c>
      <c r="T1" s="19" t="s">
        <v>59</v>
      </c>
      <c r="U1" s="19" t="s">
        <v>58</v>
      </c>
      <c r="V1" s="19" t="s">
        <v>51</v>
      </c>
      <c r="W1" s="19" t="s">
        <v>52</v>
      </c>
      <c r="X1" s="19" t="s">
        <v>53</v>
      </c>
      <c r="Y1" s="19" t="s">
        <v>54</v>
      </c>
      <c r="Z1" s="19" t="s">
        <v>55</v>
      </c>
      <c r="AA1" s="20" t="s">
        <v>56</v>
      </c>
      <c r="AB1" s="47"/>
      <c r="AC1" s="47"/>
      <c r="AD1" s="47"/>
      <c r="AE1" s="47"/>
      <c r="AF1" s="47"/>
    </row>
    <row r="2" spans="1:32" x14ac:dyDescent="0.4">
      <c r="A2" s="51" t="s">
        <v>0</v>
      </c>
      <c r="B2" s="3">
        <v>6</v>
      </c>
      <c r="C2" s="3">
        <v>291.14999999999998</v>
      </c>
      <c r="D2" s="3">
        <v>70</v>
      </c>
      <c r="E2" s="3">
        <f>294.261</f>
        <v>294.26100000000002</v>
      </c>
      <c r="F2" s="3">
        <v>42</v>
      </c>
      <c r="G2" s="52">
        <f>(F2-32)*(5/9)+273.15</f>
        <v>278.70555555555552</v>
      </c>
      <c r="H2" s="52">
        <f>(($G2-$G$15)/($G$16-$G$15))*(H$16-H$15)+H$15</f>
        <v>1.260759877777778</v>
      </c>
      <c r="I2" s="52">
        <f t="shared" ref="I2:N2" si="0">(($G2-$G$15)/($G$16-$G$15))*(I$16-I$15)+I$15</f>
        <v>1.0065741111111111</v>
      </c>
      <c r="J2" s="53">
        <f t="shared" si="0"/>
        <v>1.7395277777777775E-5</v>
      </c>
      <c r="K2" s="53">
        <f t="shared" si="0"/>
        <v>1.3994794444444439E-5</v>
      </c>
      <c r="L2" s="53">
        <f t="shared" si="0"/>
        <v>2.4596444444444442E-2</v>
      </c>
      <c r="M2" s="53">
        <f t="shared" si="0"/>
        <v>1.9689133333333328E-5</v>
      </c>
      <c r="N2" s="52">
        <f t="shared" si="0"/>
        <v>0.71253655555555551</v>
      </c>
      <c r="O2" s="52">
        <f>(B2*2.25)/K2</f>
        <v>964644.39357014932</v>
      </c>
      <c r="P2" s="3" t="str">
        <f>IF(O2&gt;(5*10^5),"Turbulent","Laminar")</f>
        <v>Turbulent</v>
      </c>
      <c r="Q2" s="3">
        <f>(0.037*(O2^(4/5))-871)*(N2^(1/3))</f>
        <v>1248.0078087029287</v>
      </c>
      <c r="R2" s="54">
        <f>(L2/2.25)*Q2</f>
        <v>13.642913214664192</v>
      </c>
      <c r="S2" s="55" t="s">
        <v>16</v>
      </c>
      <c r="T2" s="56">
        <v>0.25993400356175678</v>
      </c>
      <c r="U2" s="56">
        <v>13.642913214664192</v>
      </c>
      <c r="V2" s="56">
        <v>3.3039503456021822E-2</v>
      </c>
      <c r="W2" s="56">
        <v>0.17520473667446104</v>
      </c>
      <c r="X2" s="56">
        <v>470.78323877199483</v>
      </c>
      <c r="Y2" s="56">
        <v>18.606802886027165</v>
      </c>
      <c r="Z2" s="57">
        <f>22.5</f>
        <v>22.5</v>
      </c>
      <c r="AA2" s="63">
        <f>(X2+Y2)-Z2</f>
        <v>466.89004165802197</v>
      </c>
    </row>
    <row r="3" spans="1:32" x14ac:dyDescent="0.4">
      <c r="A3" s="48" t="s">
        <v>1</v>
      </c>
      <c r="B3" s="5">
        <v>6</v>
      </c>
      <c r="C3" s="5">
        <v>291.14999999999998</v>
      </c>
      <c r="D3" s="5">
        <v>70</v>
      </c>
      <c r="E3" s="5">
        <f t="shared" ref="E3:E13" si="1">294.261</f>
        <v>294.26100000000002</v>
      </c>
      <c r="F3" s="5">
        <v>46</v>
      </c>
      <c r="G3" s="11">
        <f t="shared" ref="G3:G13" si="2">(F3-32)*(5/9)+273.15</f>
        <v>280.92777777777775</v>
      </c>
      <c r="H3" s="11">
        <f>(($G3-$G$15)/($G$16-$G$15))*(H$16-H$15)+H$15</f>
        <v>1.2503909888888891</v>
      </c>
      <c r="I3" s="11">
        <f t="shared" ref="I3:N6" si="3">(($G3-$G$15)/($G$16-$G$15))*(I$16-I$15)+I$15</f>
        <v>1.0066185555555556</v>
      </c>
      <c r="J3" s="12">
        <f t="shared" si="3"/>
        <v>1.7506388888888887E-5</v>
      </c>
      <c r="K3" s="12">
        <f t="shared" si="3"/>
        <v>1.4192572222222218E-5</v>
      </c>
      <c r="L3" s="12">
        <f t="shared" si="3"/>
        <v>2.4774222222222222E-2</v>
      </c>
      <c r="M3" s="12">
        <f t="shared" si="3"/>
        <v>1.998246666666666E-5</v>
      </c>
      <c r="N3" s="11">
        <f t="shared" si="3"/>
        <v>0.71195877777777772</v>
      </c>
      <c r="O3" s="11">
        <f t="shared" ref="O3:O13" si="4">(B3*2.25)/K3</f>
        <v>951201.78277917707</v>
      </c>
      <c r="P3" s="5" t="str">
        <f t="shared" ref="P3:P13" si="5">IF(O3&gt;(5*10^5),"Turbulent","Laminar")</f>
        <v>Turbulent</v>
      </c>
      <c r="Q3" s="5">
        <f t="shared" ref="Q3:Q13" si="6">(0.037*(O3^(4/5))-871)*(N3^(1/3))</f>
        <v>1225.0589450680573</v>
      </c>
      <c r="R3" s="13">
        <f t="shared" ref="R3:R13" si="7">(L3/2.25)*Q3</f>
        <v>13.488836684638745</v>
      </c>
      <c r="S3" s="58" t="s">
        <v>16</v>
      </c>
      <c r="T3" s="23">
        <v>0.25357902760952838</v>
      </c>
      <c r="U3" s="23">
        <v>13.488836684638745</v>
      </c>
      <c r="V3" s="23">
        <v>3.3726956880598333E-2</v>
      </c>
      <c r="W3" s="23">
        <v>0.17876863289467657</v>
      </c>
      <c r="X3" s="23">
        <v>395.29870036664045</v>
      </c>
      <c r="Y3" s="23">
        <v>18.235861332120017</v>
      </c>
      <c r="Z3" s="59">
        <f t="shared" ref="Z3:Z13" si="8">22.5</f>
        <v>22.5</v>
      </c>
      <c r="AA3" s="64">
        <f>(X3+Y3)-Z3</f>
        <v>391.03456169876046</v>
      </c>
    </row>
    <row r="4" spans="1:32" x14ac:dyDescent="0.4">
      <c r="A4" s="48" t="s">
        <v>2</v>
      </c>
      <c r="B4" s="5">
        <v>7</v>
      </c>
      <c r="C4" s="5">
        <v>291.14999999999998</v>
      </c>
      <c r="D4" s="5">
        <v>70</v>
      </c>
      <c r="E4" s="5">
        <f t="shared" si="1"/>
        <v>294.26100000000002</v>
      </c>
      <c r="F4" s="5">
        <v>55</v>
      </c>
      <c r="G4" s="11">
        <f t="shared" si="2"/>
        <v>285.92777777777775</v>
      </c>
      <c r="H4" s="11">
        <f>(($G4-$G$15)/($G$16-$G$15))*(H$16-H$15)+H$15</f>
        <v>1.227060988888889</v>
      </c>
      <c r="I4" s="11">
        <f t="shared" si="3"/>
        <v>1.0067185555555556</v>
      </c>
      <c r="J4" s="12">
        <f t="shared" si="3"/>
        <v>1.7756388888888886E-5</v>
      </c>
      <c r="K4" s="12">
        <f t="shared" si="3"/>
        <v>1.4637572222222218E-5</v>
      </c>
      <c r="L4" s="12">
        <f t="shared" si="3"/>
        <v>2.5174222222222219E-2</v>
      </c>
      <c r="M4" s="12">
        <f t="shared" si="3"/>
        <v>2.0642466666666661E-5</v>
      </c>
      <c r="N4" s="11">
        <f t="shared" si="3"/>
        <v>0.71065877777777775</v>
      </c>
      <c r="O4" s="11">
        <f t="shared" si="4"/>
        <v>1075998.1068505975</v>
      </c>
      <c r="P4" s="5" t="str">
        <f t="shared" si="5"/>
        <v>Turbulent</v>
      </c>
      <c r="Q4" s="5">
        <f t="shared" si="6"/>
        <v>1431.7754584270342</v>
      </c>
      <c r="R4" s="13">
        <f t="shared" si="7"/>
        <v>16.019481583451668</v>
      </c>
      <c r="S4" s="58" t="s">
        <v>16</v>
      </c>
      <c r="T4" s="23">
        <v>0.23543995631649883</v>
      </c>
      <c r="U4" s="23">
        <v>16.019481583451668</v>
      </c>
      <c r="V4" s="23">
        <v>3.5799895127489607E-2</v>
      </c>
      <c r="W4" s="23">
        <v>0.18999684990244392</v>
      </c>
      <c r="X4" s="23">
        <v>232.74431929338789</v>
      </c>
      <c r="Y4" s="23">
        <v>17.158179210202039</v>
      </c>
      <c r="Z4" s="59">
        <f t="shared" si="8"/>
        <v>22.5</v>
      </c>
      <c r="AA4" s="64">
        <f>(X4+Y4)-Z4</f>
        <v>227.40249850358992</v>
      </c>
    </row>
    <row r="5" spans="1:32" x14ac:dyDescent="0.4">
      <c r="A5" s="48" t="s">
        <v>3</v>
      </c>
      <c r="B5" s="5">
        <v>6</v>
      </c>
      <c r="C5" s="5">
        <v>291.14999999999998</v>
      </c>
      <c r="D5" s="5">
        <v>70</v>
      </c>
      <c r="E5" s="5">
        <f t="shared" si="1"/>
        <v>294.26100000000002</v>
      </c>
      <c r="F5" s="5">
        <v>66</v>
      </c>
      <c r="G5" s="11">
        <f t="shared" si="2"/>
        <v>292.03888888888889</v>
      </c>
      <c r="H5" s="11">
        <f>(($G5-$G$15)/($G$16-$G$15))*(H$16-H$15)+H$15</f>
        <v>1.1985465444444445</v>
      </c>
      <c r="I5" s="11">
        <f t="shared" si="3"/>
        <v>1.0068407777777777</v>
      </c>
      <c r="J5" s="12">
        <f t="shared" si="3"/>
        <v>1.8061944444444443E-5</v>
      </c>
      <c r="K5" s="12">
        <f t="shared" si="3"/>
        <v>1.5181461111111111E-5</v>
      </c>
      <c r="L5" s="12">
        <f t="shared" si="3"/>
        <v>2.5663111111111112E-2</v>
      </c>
      <c r="M5" s="12">
        <f t="shared" si="3"/>
        <v>2.1449133333333331E-5</v>
      </c>
      <c r="N5" s="11">
        <f t="shared" si="3"/>
        <v>0.70906988888888889</v>
      </c>
      <c r="O5" s="11">
        <f t="shared" si="4"/>
        <v>889242.47153783694</v>
      </c>
      <c r="P5" s="5" t="str">
        <f t="shared" si="5"/>
        <v>Turbulent</v>
      </c>
      <c r="Q5" s="5">
        <f t="shared" si="6"/>
        <v>1118.4771180360206</v>
      </c>
      <c r="R5" s="13">
        <f t="shared" si="7"/>
        <v>12.757156691286104</v>
      </c>
      <c r="S5" s="58" t="s">
        <v>16</v>
      </c>
      <c r="T5" s="23">
        <v>0.19137794643216863</v>
      </c>
      <c r="U5" s="23">
        <v>12.757156691286104</v>
      </c>
      <c r="V5" s="23">
        <v>4.2819910290300432E-2</v>
      </c>
      <c r="W5" s="23">
        <v>0.22611515065936066</v>
      </c>
      <c r="X5" s="23">
        <v>51.870989361092278</v>
      </c>
      <c r="Y5" s="23">
        <v>14.41743284558201</v>
      </c>
      <c r="Z5" s="59">
        <f t="shared" si="8"/>
        <v>22.5</v>
      </c>
      <c r="AA5" s="64">
        <f>(X5+Y5)-Z5</f>
        <v>43.788422206674284</v>
      </c>
    </row>
    <row r="6" spans="1:32" x14ac:dyDescent="0.4">
      <c r="A6" s="48" t="s">
        <v>4</v>
      </c>
      <c r="B6" s="5">
        <v>5</v>
      </c>
      <c r="C6" s="5">
        <v>291.14999999999998</v>
      </c>
      <c r="D6" s="5">
        <v>70</v>
      </c>
      <c r="E6" s="5">
        <f t="shared" si="1"/>
        <v>294.26100000000002</v>
      </c>
      <c r="F6" s="5">
        <v>76</v>
      </c>
      <c r="G6" s="11">
        <f t="shared" si="2"/>
        <v>297.59444444444443</v>
      </c>
      <c r="H6" s="11">
        <f>(($G6-$G$15)/($G$16-$G$15))*(H$16-H$15)+H$15</f>
        <v>1.1726243222222223</v>
      </c>
      <c r="I6" s="11">
        <f t="shared" si="3"/>
        <v>1.0069518888888889</v>
      </c>
      <c r="J6" s="12">
        <f t="shared" si="3"/>
        <v>1.8339722222222221E-5</v>
      </c>
      <c r="K6" s="12">
        <f t="shared" si="3"/>
        <v>1.5675905555555551E-5</v>
      </c>
      <c r="L6" s="12">
        <f t="shared" si="3"/>
        <v>2.6107555555555554E-2</v>
      </c>
      <c r="M6" s="12">
        <f t="shared" si="3"/>
        <v>2.2182466666666663E-5</v>
      </c>
      <c r="N6" s="11">
        <f t="shared" si="3"/>
        <v>0.70762544444444442</v>
      </c>
      <c r="O6" s="11">
        <f t="shared" si="4"/>
        <v>717661.8894602228</v>
      </c>
      <c r="P6" s="5" t="str">
        <f t="shared" si="5"/>
        <v>Turbulent</v>
      </c>
      <c r="Q6" s="5">
        <f t="shared" si="6"/>
        <v>819.24680910577638</v>
      </c>
      <c r="R6" s="13">
        <f t="shared" si="7"/>
        <v>9.5060140366403001</v>
      </c>
      <c r="S6" s="60" t="s">
        <v>17</v>
      </c>
      <c r="T6" s="23">
        <v>0.20355602478240764</v>
      </c>
      <c r="U6" s="23">
        <v>9.5060140366403001</v>
      </c>
      <c r="V6" s="23">
        <v>4.0783385471587573E-2</v>
      </c>
      <c r="W6" s="23">
        <v>0.21457199058659401</v>
      </c>
      <c r="X6" s="23">
        <v>81.759873681095939</v>
      </c>
      <c r="Y6" s="23">
        <v>15.193036104516004</v>
      </c>
      <c r="Z6" s="59">
        <f t="shared" si="8"/>
        <v>22.5</v>
      </c>
      <c r="AA6" s="64">
        <f>((X6+Y6)+Z6)*-1</f>
        <v>-119.45290978561195</v>
      </c>
    </row>
    <row r="7" spans="1:32" x14ac:dyDescent="0.4">
      <c r="A7" s="48" t="s">
        <v>5</v>
      </c>
      <c r="B7" s="5">
        <v>5</v>
      </c>
      <c r="C7" s="5">
        <v>291.14999999999998</v>
      </c>
      <c r="D7" s="5">
        <v>70</v>
      </c>
      <c r="E7" s="5">
        <f t="shared" si="1"/>
        <v>294.26100000000002</v>
      </c>
      <c r="F7" s="5">
        <v>84</v>
      </c>
      <c r="G7" s="11">
        <f t="shared" si="2"/>
        <v>302.03888888888889</v>
      </c>
      <c r="H7" s="11">
        <f>(($G7-$G$16)/($G$17-$G$16))*(H$17-H$16)+H$16</f>
        <v>1.1546145777777777</v>
      </c>
      <c r="I7" s="11">
        <f t="shared" ref="I7:N7" si="9">(($G7-$G$16)/($G$17-$G$16))*(I$17-I$16)+I$16</f>
        <v>1.0070815555555555</v>
      </c>
      <c r="J7" s="12">
        <f t="shared" si="9"/>
        <v>1.8556235555555553E-5</v>
      </c>
      <c r="K7" s="12">
        <f t="shared" si="9"/>
        <v>1.6095112222222222E-5</v>
      </c>
      <c r="L7" s="12">
        <f t="shared" si="9"/>
        <v>2.6450877777777777E-2</v>
      </c>
      <c r="M7" s="12">
        <f t="shared" si="9"/>
        <v>2.2801755555555553E-5</v>
      </c>
      <c r="N7" s="11">
        <f t="shared" si="9"/>
        <v>0.70671455555555551</v>
      </c>
      <c r="O7" s="11">
        <f t="shared" si="4"/>
        <v>698969.96334497968</v>
      </c>
      <c r="P7" s="5" t="str">
        <f t="shared" si="5"/>
        <v>Turbulent</v>
      </c>
      <c r="Q7" s="5">
        <f t="shared" si="6"/>
        <v>785.57924511443889</v>
      </c>
      <c r="R7" s="13">
        <f t="shared" si="7"/>
        <v>9.235226932124867</v>
      </c>
      <c r="S7" s="60" t="s">
        <v>17</v>
      </c>
      <c r="T7" s="23">
        <v>0.23194885386294034</v>
      </c>
      <c r="U7" s="23">
        <v>9.235226932124867</v>
      </c>
      <c r="V7" s="23">
        <v>3.6550140805318945E-2</v>
      </c>
      <c r="W7" s="23">
        <v>0.19235893655945602</v>
      </c>
      <c r="X7" s="23">
        <v>212.82787747173003</v>
      </c>
      <c r="Y7" s="23">
        <v>16.947484002087737</v>
      </c>
      <c r="Z7" s="59">
        <f t="shared" si="8"/>
        <v>22.5</v>
      </c>
      <c r="AA7" s="64">
        <f>((X7+Y7)+Z7)*-1</f>
        <v>-252.27536147381778</v>
      </c>
    </row>
    <row r="8" spans="1:32" x14ac:dyDescent="0.4">
      <c r="A8" s="48" t="s">
        <v>6</v>
      </c>
      <c r="B8" s="5">
        <v>5</v>
      </c>
      <c r="C8" s="5">
        <v>291.14999999999998</v>
      </c>
      <c r="D8" s="5">
        <v>70</v>
      </c>
      <c r="E8" s="5">
        <f t="shared" si="1"/>
        <v>294.26100000000002</v>
      </c>
      <c r="F8" s="5">
        <v>88</v>
      </c>
      <c r="G8" s="11">
        <f t="shared" si="2"/>
        <v>304.26111111111106</v>
      </c>
      <c r="H8" s="11">
        <f t="shared" ref="H8:N9" si="10">(($G8-$G$16)/($G$17-$G$16))*(H$17-H$16)+H$16</f>
        <v>1.1472190222222223</v>
      </c>
      <c r="I8" s="11">
        <f t="shared" si="10"/>
        <v>1.0071704444444443</v>
      </c>
      <c r="J8" s="12">
        <f t="shared" si="10"/>
        <v>1.8661124444444441E-5</v>
      </c>
      <c r="K8" s="12">
        <f t="shared" si="10"/>
        <v>1.6318667777777772E-5</v>
      </c>
      <c r="L8" s="12">
        <f t="shared" si="10"/>
        <v>2.661532222222222E-2</v>
      </c>
      <c r="M8" s="12">
        <f t="shared" si="10"/>
        <v>2.3130644444444434E-5</v>
      </c>
      <c r="N8" s="11">
        <f t="shared" si="10"/>
        <v>0.70640344444444436</v>
      </c>
      <c r="O8" s="11">
        <f t="shared" si="4"/>
        <v>689394.51143921702</v>
      </c>
      <c r="P8" s="5" t="str">
        <f t="shared" si="5"/>
        <v>Turbulent</v>
      </c>
      <c r="Q8" s="5">
        <f t="shared" si="6"/>
        <v>768.33063734623011</v>
      </c>
      <c r="R8" s="13">
        <f t="shared" si="7"/>
        <v>9.0886077716334572</v>
      </c>
      <c r="S8" s="60" t="s">
        <v>17</v>
      </c>
      <c r="T8" s="23">
        <v>0.24097102571067563</v>
      </c>
      <c r="U8" s="23">
        <v>9.0886077716334572</v>
      </c>
      <c r="V8" s="23">
        <v>3.5419712441113055E-2</v>
      </c>
      <c r="W8" s="23">
        <v>0.1863943398553585</v>
      </c>
      <c r="X8" s="23">
        <v>282.36003123228039</v>
      </c>
      <c r="Y8" s="23">
        <v>17.489801474281581</v>
      </c>
      <c r="Z8" s="59">
        <f t="shared" si="8"/>
        <v>22.5</v>
      </c>
      <c r="AA8" s="64">
        <f>((X8+Y8)+Z8)*-1</f>
        <v>-322.34983270656198</v>
      </c>
    </row>
    <row r="9" spans="1:32" x14ac:dyDescent="0.4">
      <c r="A9" s="48" t="s">
        <v>7</v>
      </c>
      <c r="B9" s="5">
        <v>5</v>
      </c>
      <c r="C9" s="5">
        <v>291.14999999999998</v>
      </c>
      <c r="D9" s="5">
        <v>70</v>
      </c>
      <c r="E9" s="5">
        <f t="shared" si="1"/>
        <v>294.26100000000002</v>
      </c>
      <c r="F9" s="5">
        <v>86</v>
      </c>
      <c r="G9" s="11">
        <f t="shared" si="2"/>
        <v>303.14999999999998</v>
      </c>
      <c r="H9" s="11">
        <f t="shared" si="10"/>
        <v>1.1509168000000001</v>
      </c>
      <c r="I9" s="11">
        <f t="shared" si="10"/>
        <v>1.007126</v>
      </c>
      <c r="J9" s="12">
        <f t="shared" si="10"/>
        <v>1.8608679999999999E-5</v>
      </c>
      <c r="K9" s="12">
        <f t="shared" si="10"/>
        <v>1.6206889999999995E-5</v>
      </c>
      <c r="L9" s="12">
        <f t="shared" si="10"/>
        <v>2.6533099999999997E-2</v>
      </c>
      <c r="M9" s="12">
        <f t="shared" si="10"/>
        <v>2.2966199999999994E-5</v>
      </c>
      <c r="N9" s="11">
        <f t="shared" si="10"/>
        <v>0.70655899999999994</v>
      </c>
      <c r="O9" s="11">
        <f t="shared" si="4"/>
        <v>694149.21678372612</v>
      </c>
      <c r="P9" s="5" t="str">
        <f t="shared" si="5"/>
        <v>Turbulent</v>
      </c>
      <c r="Q9" s="5">
        <f t="shared" si="6"/>
        <v>776.9011374030631</v>
      </c>
      <c r="R9" s="13">
        <f t="shared" si="7"/>
        <v>9.1615980305907616</v>
      </c>
      <c r="S9" s="60" t="s">
        <v>17</v>
      </c>
      <c r="T9" s="23">
        <v>0.23670401249327039</v>
      </c>
      <c r="U9" s="23">
        <v>9.1615980305907616</v>
      </c>
      <c r="V9" s="23">
        <v>3.5943175613487761E-2</v>
      </c>
      <c r="W9" s="23">
        <v>0.1891587322049835</v>
      </c>
      <c r="X9" s="23">
        <v>247.33485142208727</v>
      </c>
      <c r="Y9" s="23">
        <v>17.234203052636573</v>
      </c>
      <c r="Z9" s="59">
        <f t="shared" si="8"/>
        <v>22.5</v>
      </c>
      <c r="AA9" s="64">
        <f>((X9+Y9)+Z9)*-1</f>
        <v>-287.06905447472383</v>
      </c>
    </row>
    <row r="10" spans="1:32" x14ac:dyDescent="0.4">
      <c r="A10" s="48" t="s">
        <v>8</v>
      </c>
      <c r="B10" s="5">
        <v>5</v>
      </c>
      <c r="C10" s="5">
        <v>291.14999999999998</v>
      </c>
      <c r="D10" s="5">
        <v>70</v>
      </c>
      <c r="E10" s="5">
        <f t="shared" si="1"/>
        <v>294.26100000000002</v>
      </c>
      <c r="F10" s="5">
        <v>79</v>
      </c>
      <c r="G10" s="11">
        <f t="shared" si="2"/>
        <v>299.26111111111106</v>
      </c>
      <c r="H10" s="11">
        <f t="shared" ref="H10:N13" si="11">(($G10-$G$15)/($G$16-$G$15))*(H$16-H$15)+H$15</f>
        <v>1.1648476555555558</v>
      </c>
      <c r="I10" s="11">
        <f t="shared" si="11"/>
        <v>1.0069852222222222</v>
      </c>
      <c r="J10" s="12">
        <f t="shared" si="11"/>
        <v>1.8423055555555554E-5</v>
      </c>
      <c r="K10" s="12">
        <f t="shared" si="11"/>
        <v>1.5824238888888885E-5</v>
      </c>
      <c r="L10" s="12">
        <f t="shared" si="11"/>
        <v>2.6240888888888887E-2</v>
      </c>
      <c r="M10" s="12">
        <f t="shared" si="11"/>
        <v>2.2402466666666658E-5</v>
      </c>
      <c r="N10" s="11">
        <f t="shared" si="11"/>
        <v>0.70719211111111113</v>
      </c>
      <c r="O10" s="11">
        <f t="shared" si="4"/>
        <v>710934.66668398678</v>
      </c>
      <c r="P10" s="5" t="str">
        <f t="shared" si="5"/>
        <v>Turbulent</v>
      </c>
      <c r="Q10" s="5">
        <f t="shared" si="6"/>
        <v>807.1066889467362</v>
      </c>
      <c r="R10" s="13">
        <f t="shared" si="7"/>
        <v>9.4129764205023605</v>
      </c>
      <c r="S10" s="60" t="s">
        <v>17</v>
      </c>
      <c r="T10" s="23">
        <v>0.21676014174002908</v>
      </c>
      <c r="U10" s="23">
        <v>9.4129764205023605</v>
      </c>
      <c r="V10" s="23">
        <v>3.8673606275198537E-2</v>
      </c>
      <c r="W10" s="23">
        <v>0.20351934845241659</v>
      </c>
      <c r="X10" s="23">
        <v>129.31587179958169</v>
      </c>
      <c r="Y10" s="23">
        <v>16.018133041351536</v>
      </c>
      <c r="Z10" s="59">
        <f t="shared" si="8"/>
        <v>22.5</v>
      </c>
      <c r="AA10" s="64">
        <f>((X10+Y10)+Z10)*-1</f>
        <v>-167.83400484093323</v>
      </c>
    </row>
    <row r="11" spans="1:32" x14ac:dyDescent="0.4">
      <c r="A11" s="48" t="s">
        <v>9</v>
      </c>
      <c r="B11" s="5">
        <v>5</v>
      </c>
      <c r="C11" s="5">
        <v>291.14999999999998</v>
      </c>
      <c r="D11" s="5">
        <v>70</v>
      </c>
      <c r="E11" s="5">
        <f t="shared" si="1"/>
        <v>294.26100000000002</v>
      </c>
      <c r="F11" s="5">
        <v>68</v>
      </c>
      <c r="G11" s="11">
        <f t="shared" si="2"/>
        <v>293.14999999999998</v>
      </c>
      <c r="H11" s="11">
        <f t="shared" si="11"/>
        <v>1.1933621000000001</v>
      </c>
      <c r="I11" s="11">
        <f t="shared" si="11"/>
        <v>1.0068629999999998</v>
      </c>
      <c r="J11" s="12">
        <f t="shared" si="11"/>
        <v>1.8117499999999997E-5</v>
      </c>
      <c r="K11" s="12">
        <f t="shared" si="11"/>
        <v>1.5280349999999997E-5</v>
      </c>
      <c r="L11" s="12">
        <f t="shared" si="11"/>
        <v>2.5751999999999997E-2</v>
      </c>
      <c r="M11" s="12">
        <f t="shared" si="11"/>
        <v>2.1595799999999994E-5</v>
      </c>
      <c r="N11" s="11">
        <f t="shared" si="11"/>
        <v>0.70878099999999999</v>
      </c>
      <c r="O11" s="11">
        <f t="shared" si="4"/>
        <v>736239.68037381361</v>
      </c>
      <c r="P11" s="5" t="str">
        <f t="shared" si="5"/>
        <v>Turbulent</v>
      </c>
      <c r="Q11" s="5">
        <f t="shared" si="6"/>
        <v>852.66549923058847</v>
      </c>
      <c r="R11" s="13">
        <f t="shared" si="7"/>
        <v>9.7590408605271612</v>
      </c>
      <c r="S11" s="58" t="s">
        <v>16</v>
      </c>
      <c r="T11" s="23">
        <v>0.17178250264037537</v>
      </c>
      <c r="U11" s="23">
        <v>9.7590408605271612</v>
      </c>
      <c r="V11" s="23">
        <v>4.7191698438350499E-2</v>
      </c>
      <c r="W11" s="23">
        <v>0.24811819816840242</v>
      </c>
      <c r="X11" s="23">
        <v>23.521086053939698</v>
      </c>
      <c r="Y11" s="23">
        <v>13.138899218457844</v>
      </c>
      <c r="Z11" s="59">
        <f t="shared" si="8"/>
        <v>22.5</v>
      </c>
      <c r="AA11" s="64">
        <f>(X11+Y11)-Z11</f>
        <v>14.159985272397542</v>
      </c>
    </row>
    <row r="12" spans="1:32" x14ac:dyDescent="0.4">
      <c r="A12" s="48" t="s">
        <v>10</v>
      </c>
      <c r="B12" s="5">
        <v>6</v>
      </c>
      <c r="C12" s="5">
        <v>291.14999999999998</v>
      </c>
      <c r="D12" s="5">
        <v>70</v>
      </c>
      <c r="E12" s="5">
        <f t="shared" si="1"/>
        <v>294.26100000000002</v>
      </c>
      <c r="F12" s="5">
        <v>57</v>
      </c>
      <c r="G12" s="11">
        <f t="shared" si="2"/>
        <v>287.03888888888889</v>
      </c>
      <c r="H12" s="11">
        <f t="shared" si="11"/>
        <v>1.2218765444444444</v>
      </c>
      <c r="I12" s="11">
        <f t="shared" si="11"/>
        <v>1.0067407777777777</v>
      </c>
      <c r="J12" s="12">
        <f t="shared" si="11"/>
        <v>1.7811944444444444E-5</v>
      </c>
      <c r="K12" s="12">
        <f t="shared" si="11"/>
        <v>1.4736461111111111E-5</v>
      </c>
      <c r="L12" s="12">
        <f t="shared" si="11"/>
        <v>2.5263111111111111E-2</v>
      </c>
      <c r="M12" s="12">
        <f t="shared" si="11"/>
        <v>2.0789133333333334E-5</v>
      </c>
      <c r="N12" s="11">
        <f t="shared" si="11"/>
        <v>0.71036988888888886</v>
      </c>
      <c r="O12" s="11">
        <f t="shared" si="4"/>
        <v>916095.11253832618</v>
      </c>
      <c r="P12" s="5" t="str">
        <f t="shared" si="5"/>
        <v>Turbulent</v>
      </c>
      <c r="Q12" s="5">
        <f t="shared" si="6"/>
        <v>1164.834516146791</v>
      </c>
      <c r="R12" s="13">
        <f t="shared" si="7"/>
        <v>13.078819469988325</v>
      </c>
      <c r="S12" s="58" t="s">
        <v>16</v>
      </c>
      <c r="T12" s="23">
        <v>0.2300941964068326</v>
      </c>
      <c r="U12" s="23">
        <v>13.078819469988325</v>
      </c>
      <c r="V12" s="23">
        <v>3.6589117905715993E-2</v>
      </c>
      <c r="W12" s="23">
        <v>0.19364289346659774</v>
      </c>
      <c r="X12" s="23">
        <v>197.35679689569693</v>
      </c>
      <c r="Y12" s="23">
        <v>16.835113035337503</v>
      </c>
      <c r="Z12" s="59">
        <f t="shared" si="8"/>
        <v>22.5</v>
      </c>
      <c r="AA12" s="64">
        <f>(X12+Y12)-Z12</f>
        <v>191.69190993103444</v>
      </c>
    </row>
    <row r="13" spans="1:32" ht="15" thickBot="1" x14ac:dyDescent="0.45">
      <c r="A13" s="49" t="s">
        <v>11</v>
      </c>
      <c r="B13" s="7">
        <v>6</v>
      </c>
      <c r="C13" s="7">
        <v>291.14999999999998</v>
      </c>
      <c r="D13" s="7">
        <v>70</v>
      </c>
      <c r="E13" s="7">
        <f t="shared" si="1"/>
        <v>294.26100000000002</v>
      </c>
      <c r="F13" s="7">
        <v>46</v>
      </c>
      <c r="G13" s="15">
        <f t="shared" si="2"/>
        <v>280.92777777777775</v>
      </c>
      <c r="H13" s="15">
        <f t="shared" si="11"/>
        <v>1.2503909888888891</v>
      </c>
      <c r="I13" s="15">
        <f t="shared" si="11"/>
        <v>1.0066185555555556</v>
      </c>
      <c r="J13" s="16">
        <f t="shared" si="11"/>
        <v>1.7506388888888887E-5</v>
      </c>
      <c r="K13" s="16">
        <f t="shared" si="11"/>
        <v>1.4192572222222218E-5</v>
      </c>
      <c r="L13" s="16">
        <f t="shared" si="11"/>
        <v>2.4774222222222222E-2</v>
      </c>
      <c r="M13" s="16">
        <f t="shared" si="11"/>
        <v>1.998246666666666E-5</v>
      </c>
      <c r="N13" s="15">
        <f t="shared" si="11"/>
        <v>0.71195877777777772</v>
      </c>
      <c r="O13" s="15">
        <f t="shared" si="4"/>
        <v>951201.78277917707</v>
      </c>
      <c r="P13" s="7" t="str">
        <f t="shared" si="5"/>
        <v>Turbulent</v>
      </c>
      <c r="Q13" s="7">
        <f t="shared" si="6"/>
        <v>1225.0589450680573</v>
      </c>
      <c r="R13" s="17">
        <f t="shared" si="7"/>
        <v>13.488836684638745</v>
      </c>
      <c r="S13" s="61" t="s">
        <v>16</v>
      </c>
      <c r="T13" s="25">
        <v>0.25357902760952838</v>
      </c>
      <c r="U13" s="25">
        <v>13.488836684638745</v>
      </c>
      <c r="V13" s="25">
        <v>3.3726956880598333E-2</v>
      </c>
      <c r="W13" s="25">
        <v>0.17876863289467657</v>
      </c>
      <c r="X13" s="25">
        <v>395.29870036664045</v>
      </c>
      <c r="Y13" s="25">
        <v>18.235861332120017</v>
      </c>
      <c r="Z13" s="62">
        <f t="shared" si="8"/>
        <v>22.5</v>
      </c>
      <c r="AA13" s="65">
        <f>(X13+Y13)-Z13</f>
        <v>391.03456169876046</v>
      </c>
    </row>
    <row r="15" spans="1:32" hidden="1" x14ac:dyDescent="0.4">
      <c r="F15" s="83" t="s">
        <v>31</v>
      </c>
      <c r="G15" s="3">
        <v>250</v>
      </c>
      <c r="H15" s="3">
        <v>1.3947000000000001</v>
      </c>
      <c r="I15" s="3">
        <v>1.006</v>
      </c>
      <c r="J15" s="3">
        <f>159.6*10^-7</f>
        <v>1.596E-5</v>
      </c>
      <c r="K15" s="3">
        <f>11.44*10^-6</f>
        <v>1.1439999999999999E-5</v>
      </c>
      <c r="L15" s="3">
        <f>22.3*10^-3</f>
        <v>2.23E-2</v>
      </c>
      <c r="M15" s="3">
        <f>15.9*10^-6</f>
        <v>1.59E-5</v>
      </c>
      <c r="N15" s="4">
        <v>0.72</v>
      </c>
      <c r="O15" s="5"/>
    </row>
    <row r="16" spans="1:32" hidden="1" x14ac:dyDescent="0.4">
      <c r="F16" s="84"/>
      <c r="G16" s="5">
        <v>300</v>
      </c>
      <c r="H16" s="5">
        <v>1.1614</v>
      </c>
      <c r="I16" s="5">
        <v>1.0069999999999999</v>
      </c>
      <c r="J16" s="5">
        <f>184.6*10^-7</f>
        <v>1.8459999999999999E-5</v>
      </c>
      <c r="K16" s="5">
        <f>15.89*10^-6</f>
        <v>1.5889999999999999E-5</v>
      </c>
      <c r="L16" s="5">
        <f>26.3*10^-3</f>
        <v>2.63E-2</v>
      </c>
      <c r="M16" s="5">
        <f>22.5*10^-6</f>
        <v>2.2499999999999998E-5</v>
      </c>
      <c r="N16" s="6">
        <v>0.70699999999999996</v>
      </c>
      <c r="O16" s="5"/>
    </row>
    <row r="17" spans="6:15" ht="15" hidden="1" thickBot="1" x14ac:dyDescent="0.45">
      <c r="F17" s="85"/>
      <c r="G17" s="7">
        <v>350</v>
      </c>
      <c r="H17" s="7">
        <v>0.995</v>
      </c>
      <c r="I17" s="7">
        <v>1.0089999999999999</v>
      </c>
      <c r="J17" s="7">
        <f>208.2*10^-7</f>
        <v>2.0819999999999997E-5</v>
      </c>
      <c r="K17" s="7">
        <f>20.92*10^-6</f>
        <v>2.092E-5</v>
      </c>
      <c r="L17" s="7">
        <f>30*10^-3</f>
        <v>0.03</v>
      </c>
      <c r="M17" s="7">
        <f>29.9*10^-6</f>
        <v>2.9899999999999998E-5</v>
      </c>
      <c r="N17" s="8">
        <v>0.7</v>
      </c>
      <c r="O17" s="5"/>
    </row>
  </sheetData>
  <mergeCells count="1">
    <mergeCell ref="F15:F17"/>
  </mergeCells>
  <pageMargins left="0.7" right="0.7" top="0.75" bottom="0.75" header="0.3" footer="0.3"/>
  <pageSetup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274B7-E91D-44B1-AFFC-DA2AF7EF676E}">
  <sheetPr>
    <pageSetUpPr fitToPage="1"/>
  </sheetPr>
  <dimension ref="A1:P49"/>
  <sheetViews>
    <sheetView topLeftCell="C1" zoomScaleNormal="100" workbookViewId="0">
      <selection activeCell="AL8" sqref="AL8"/>
    </sheetView>
  </sheetViews>
  <sheetFormatPr defaultColWidth="9.15234375" defaultRowHeight="14.6" x14ac:dyDescent="0.4"/>
  <cols>
    <col min="1" max="1" width="9.15234375" style="1"/>
    <col min="2" max="2" width="11" style="1" customWidth="1"/>
    <col min="3" max="8" width="9.15234375" style="1"/>
    <col min="9" max="9" width="10.53515625" style="1" customWidth="1"/>
    <col min="10" max="16384" width="9.15234375" style="1"/>
  </cols>
  <sheetData>
    <row r="1" spans="1:16" x14ac:dyDescent="0.4">
      <c r="A1" s="34" t="s">
        <v>28</v>
      </c>
      <c r="B1" s="9">
        <v>0.25357902760952838</v>
      </c>
      <c r="C1" s="42" t="s">
        <v>43</v>
      </c>
    </row>
    <row r="2" spans="1:16" x14ac:dyDescent="0.4">
      <c r="A2" s="35" t="s">
        <v>35</v>
      </c>
      <c r="B2" s="10">
        <v>13.488836684638745</v>
      </c>
      <c r="C2" s="43" t="s">
        <v>43</v>
      </c>
    </row>
    <row r="3" spans="1:16" ht="15" thickBot="1" x14ac:dyDescent="0.45">
      <c r="A3" s="35" t="s">
        <v>36</v>
      </c>
      <c r="B3" s="10">
        <v>280.92777777777775</v>
      </c>
      <c r="C3" s="45" t="s">
        <v>12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</row>
    <row r="4" spans="1:16" ht="15" thickBot="1" x14ac:dyDescent="0.45">
      <c r="A4" s="9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4"/>
      <c r="P4" s="5"/>
    </row>
    <row r="5" spans="1:16" ht="15" thickBot="1" x14ac:dyDescent="0.45">
      <c r="A5" s="10"/>
      <c r="B5" s="5"/>
      <c r="C5" s="5"/>
      <c r="D5" s="5"/>
      <c r="E5" s="5"/>
      <c r="F5" s="5"/>
      <c r="G5" s="5"/>
      <c r="H5" s="36">
        <f>1/(B1*46)</f>
        <v>8.5729212860053375E-2</v>
      </c>
      <c r="I5" s="5"/>
      <c r="J5" s="66">
        <v>2.7220000000000001E-2</v>
      </c>
      <c r="K5" s="5"/>
      <c r="L5" s="36">
        <f>1/(B2*46)</f>
        <v>1.6116386418659366E-3</v>
      </c>
      <c r="M5" s="5"/>
      <c r="N5" s="5"/>
      <c r="O5" s="6"/>
      <c r="P5" s="5"/>
    </row>
    <row r="6" spans="1:16" ht="15" thickBot="1" x14ac:dyDescent="0.45">
      <c r="A6" s="10"/>
      <c r="B6" s="5"/>
      <c r="C6" s="5"/>
      <c r="D6" s="36">
        <f>1/(B1*28)</f>
        <v>0.14084084969865912</v>
      </c>
      <c r="E6" s="5"/>
      <c r="F6" s="66">
        <v>1.3192300000000001E-2</v>
      </c>
      <c r="G6" s="5"/>
      <c r="H6" s="5"/>
      <c r="I6" s="5"/>
      <c r="J6" s="5"/>
      <c r="K6" s="5"/>
      <c r="L6" s="5"/>
      <c r="M6" s="5"/>
      <c r="N6" s="5">
        <f>B3</f>
        <v>280.92777777777775</v>
      </c>
      <c r="O6" s="45" t="s">
        <v>12</v>
      </c>
      <c r="P6" s="5"/>
    </row>
    <row r="7" spans="1:16" ht="15" thickBot="1" x14ac:dyDescent="0.45">
      <c r="A7" s="10"/>
      <c r="B7" s="5"/>
      <c r="C7" s="5"/>
      <c r="D7" s="5"/>
      <c r="E7" s="5"/>
      <c r="F7" s="5"/>
      <c r="G7" s="5"/>
      <c r="H7" s="36">
        <f>1/(B1*0.375)</f>
        <v>10.51611677749988</v>
      </c>
      <c r="I7" s="5"/>
      <c r="J7" s="66">
        <v>5.6153500000000002E-2</v>
      </c>
      <c r="K7" s="5"/>
      <c r="L7" s="36">
        <f>1/(B2*0.375)</f>
        <v>0.1976943400688882</v>
      </c>
      <c r="M7" s="5"/>
      <c r="N7" s="5"/>
      <c r="O7" s="6"/>
      <c r="P7" s="5"/>
    </row>
    <row r="8" spans="1:16" ht="15" thickBot="1" x14ac:dyDescent="0.45">
      <c r="A8" s="10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6"/>
      <c r="P8" s="5"/>
    </row>
    <row r="9" spans="1:16" ht="15" thickBot="1" x14ac:dyDescent="0.45">
      <c r="A9" s="10"/>
      <c r="B9" s="5"/>
      <c r="C9" s="5"/>
      <c r="D9" s="36">
        <f>1/(B1*25)</f>
        <v>0.15774175166249818</v>
      </c>
      <c r="E9" s="5"/>
      <c r="F9" s="66">
        <v>3.2771000000000002E-2</v>
      </c>
      <c r="G9" s="5"/>
      <c r="H9" s="36">
        <f>1/(B2*25)</f>
        <v>2.9654151010333231E-3</v>
      </c>
      <c r="I9" s="5"/>
      <c r="J9" s="5"/>
      <c r="K9" s="5"/>
      <c r="L9" s="5"/>
      <c r="M9" s="5"/>
      <c r="N9" s="5"/>
      <c r="O9" s="6"/>
      <c r="P9" s="5"/>
    </row>
    <row r="10" spans="1:16" ht="15" thickBot="1" x14ac:dyDescent="0.45">
      <c r="A10" s="10"/>
      <c r="B10" s="5"/>
      <c r="C10" s="5"/>
      <c r="D10" s="36">
        <f>1/(B1*31)</f>
        <v>0.12721109005040176</v>
      </c>
      <c r="E10" s="5"/>
      <c r="F10" s="66">
        <v>3.5216999999999998E-2</v>
      </c>
      <c r="G10" s="5"/>
      <c r="H10" s="36">
        <f>1/(B2*31)</f>
        <v>2.3914637911559059E-3</v>
      </c>
      <c r="I10" s="5"/>
      <c r="J10" s="5"/>
      <c r="K10" s="5"/>
      <c r="L10" s="5"/>
      <c r="M10" s="5"/>
      <c r="N10" s="5"/>
      <c r="O10" s="6"/>
      <c r="P10" s="5"/>
    </row>
    <row r="11" spans="1:16" ht="15" thickBot="1" x14ac:dyDescent="0.45">
      <c r="A11" s="18">
        <v>294.26</v>
      </c>
      <c r="B11" s="28" t="s">
        <v>12</v>
      </c>
      <c r="C11" s="5"/>
      <c r="D11" s="36">
        <f>1/(B1*22)</f>
        <v>0.17925199052556615</v>
      </c>
      <c r="E11" s="5"/>
      <c r="F11" s="66">
        <v>3.3709999999999997E-2</v>
      </c>
      <c r="G11" s="5"/>
      <c r="H11" s="36">
        <f>1/(B2*22)</f>
        <v>3.3697898875378672E-3</v>
      </c>
      <c r="I11" s="5"/>
      <c r="J11" s="5">
        <f>B3</f>
        <v>280.92777777777775</v>
      </c>
      <c r="K11" s="44" t="s">
        <v>12</v>
      </c>
      <c r="L11" s="5"/>
      <c r="M11" s="5"/>
      <c r="N11" s="5"/>
      <c r="O11" s="6"/>
      <c r="P11" s="5"/>
    </row>
    <row r="12" spans="1:16" ht="15" thickBot="1" x14ac:dyDescent="0.45">
      <c r="A12" s="10"/>
      <c r="B12" s="5"/>
      <c r="C12" s="5"/>
      <c r="D12" s="36">
        <f>1/(B1*28)</f>
        <v>0.14084084969865912</v>
      </c>
      <c r="E12" s="5"/>
      <c r="F12" s="66">
        <v>3.5527999999999997E-2</v>
      </c>
      <c r="G12" s="5"/>
      <c r="H12" s="36">
        <f>1/(B2*28)</f>
        <v>2.6476920544940383E-3</v>
      </c>
      <c r="I12" s="5"/>
      <c r="J12" s="5"/>
      <c r="K12" s="5"/>
      <c r="L12" s="5"/>
      <c r="M12" s="5"/>
      <c r="N12" s="5"/>
      <c r="O12" s="6"/>
      <c r="P12" s="5"/>
    </row>
    <row r="13" spans="1:16" ht="15" thickBot="1" x14ac:dyDescent="0.45">
      <c r="A13" s="10"/>
      <c r="B13" s="5"/>
      <c r="C13" s="5"/>
      <c r="D13" s="36">
        <f>1/(B1*18)</f>
        <v>0.21908576619791417</v>
      </c>
      <c r="E13" s="5"/>
      <c r="F13" s="66">
        <v>3.5533000000000002E-2</v>
      </c>
      <c r="G13" s="5"/>
      <c r="H13" s="36">
        <f>1/(B2*18)</f>
        <v>4.1186320847685044E-3</v>
      </c>
      <c r="I13" s="5"/>
      <c r="J13" s="5"/>
      <c r="K13" s="5"/>
      <c r="L13" s="5"/>
      <c r="M13" s="5"/>
      <c r="N13" s="5"/>
      <c r="O13" s="6"/>
      <c r="P13" s="5"/>
    </row>
    <row r="14" spans="1:16" ht="15" thickBot="1" x14ac:dyDescent="0.45">
      <c r="A14" s="10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6"/>
      <c r="P14" s="5"/>
    </row>
    <row r="15" spans="1:16" ht="15" thickBot="1" x14ac:dyDescent="0.45">
      <c r="A15" s="10"/>
      <c r="B15" s="5"/>
      <c r="C15" s="5"/>
      <c r="D15" s="5"/>
      <c r="E15" s="5"/>
      <c r="F15" s="5"/>
      <c r="G15" s="5"/>
      <c r="H15" s="36">
        <f>1/(B1*86)</f>
        <v>4.5855160367005286E-2</v>
      </c>
      <c r="I15" s="5"/>
      <c r="J15" s="36">
        <v>3.5499999999999997E-2</v>
      </c>
      <c r="K15" s="5"/>
      <c r="L15" s="5"/>
      <c r="M15" s="5"/>
      <c r="N15" s="5"/>
      <c r="O15" s="6"/>
      <c r="P15" s="5"/>
    </row>
    <row r="16" spans="1:16" ht="15" thickBot="1" x14ac:dyDescent="0.45">
      <c r="A16" s="10"/>
      <c r="B16" s="5"/>
      <c r="C16" s="5"/>
      <c r="D16" s="36">
        <f>1/(B1*35)</f>
        <v>0.11267267975892728</v>
      </c>
      <c r="E16" s="5"/>
      <c r="F16" s="66">
        <v>1.3192300000000001E-2</v>
      </c>
      <c r="G16" s="5"/>
      <c r="H16" s="5"/>
      <c r="I16" s="5"/>
      <c r="J16" s="5"/>
      <c r="K16" s="5"/>
      <c r="L16" s="5">
        <v>291</v>
      </c>
      <c r="M16" s="44" t="s">
        <v>12</v>
      </c>
      <c r="N16" s="5"/>
      <c r="O16" s="6"/>
      <c r="P16" s="5"/>
    </row>
    <row r="17" spans="1:16" ht="15" thickBot="1" x14ac:dyDescent="0.45">
      <c r="A17" s="10"/>
      <c r="B17" s="5"/>
      <c r="C17" s="5"/>
      <c r="D17" s="5"/>
      <c r="E17" s="5"/>
      <c r="F17" s="5"/>
      <c r="G17" s="5"/>
      <c r="H17" s="36">
        <f>1/(B1*35)</f>
        <v>0.11267267975892728</v>
      </c>
      <c r="I17" s="5"/>
      <c r="J17" s="36">
        <v>4.1509999999999998E-2</v>
      </c>
      <c r="K17" s="5"/>
      <c r="L17" s="5"/>
      <c r="M17" s="5"/>
      <c r="N17" s="5"/>
      <c r="O17" s="6"/>
      <c r="P17" s="5"/>
    </row>
    <row r="18" spans="1:16" ht="15" thickBot="1" x14ac:dyDescent="0.45">
      <c r="A18" s="14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8"/>
      <c r="P18" s="10"/>
    </row>
    <row r="19" spans="1:16" ht="15" thickBot="1" x14ac:dyDescent="0.45">
      <c r="A19" s="10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6"/>
      <c r="P19" s="10"/>
    </row>
    <row r="20" spans="1:16" ht="15" thickBot="1" x14ac:dyDescent="0.45">
      <c r="A20" s="10"/>
      <c r="B20" s="5"/>
      <c r="C20" s="5"/>
      <c r="D20" s="36">
        <f>D6+F6</f>
        <v>0.15403314969865911</v>
      </c>
      <c r="E20" s="5"/>
      <c r="F20" s="36">
        <f>((1/(H5+J5+L5))+(1/(H7+J7+L7)))^-1</f>
        <v>0.11335508568933168</v>
      </c>
      <c r="G20" s="5"/>
      <c r="H20" s="5">
        <f>N6</f>
        <v>280.92777777777775</v>
      </c>
      <c r="I20" s="44" t="s">
        <v>12</v>
      </c>
      <c r="J20" s="5"/>
      <c r="K20" s="5"/>
      <c r="L20" s="5"/>
      <c r="M20" s="5"/>
      <c r="N20" s="5"/>
      <c r="O20" s="6"/>
      <c r="P20" s="10"/>
    </row>
    <row r="21" spans="1:16" ht="15" thickBot="1" x14ac:dyDescent="0.45">
      <c r="A21" s="10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6"/>
      <c r="P21" s="10"/>
    </row>
    <row r="22" spans="1:16" ht="15" thickBot="1" x14ac:dyDescent="0.45">
      <c r="A22" s="10"/>
      <c r="B22" s="5"/>
      <c r="C22" s="5"/>
      <c r="D22" s="36">
        <f>D9+F9+H9</f>
        <v>0.1934781667635315</v>
      </c>
      <c r="E22" s="5"/>
      <c r="F22" s="5"/>
      <c r="G22" s="5"/>
      <c r="H22" s="5"/>
      <c r="I22" s="5"/>
      <c r="J22" s="5"/>
      <c r="K22" s="5"/>
      <c r="L22" s="5"/>
      <c r="M22" s="5"/>
      <c r="N22" s="5"/>
      <c r="O22" s="6"/>
      <c r="P22" s="10"/>
    </row>
    <row r="23" spans="1:16" ht="15" thickBot="1" x14ac:dyDescent="0.45">
      <c r="A23" s="10"/>
      <c r="B23" s="5"/>
      <c r="C23" s="5"/>
      <c r="D23" s="36">
        <f>D10+F10+H10</f>
        <v>0.16481955384155766</v>
      </c>
      <c r="E23" s="5"/>
      <c r="F23" s="5"/>
      <c r="G23" s="5"/>
      <c r="H23" s="5"/>
      <c r="I23" s="5"/>
      <c r="J23" s="5"/>
      <c r="K23" s="5"/>
      <c r="L23" s="5"/>
      <c r="M23" s="5"/>
      <c r="N23" s="5"/>
      <c r="O23" s="6"/>
      <c r="P23" s="10"/>
    </row>
    <row r="24" spans="1:16" ht="15" thickBot="1" x14ac:dyDescent="0.45">
      <c r="A24" s="18">
        <f>A11</f>
        <v>294.26</v>
      </c>
      <c r="B24" s="28" t="s">
        <v>12</v>
      </c>
      <c r="C24" s="5"/>
      <c r="D24" s="36">
        <f>D11+F11+H11</f>
        <v>0.216331780413104</v>
      </c>
      <c r="E24" s="5"/>
      <c r="F24" s="5">
        <f>J11</f>
        <v>280.92777777777775</v>
      </c>
      <c r="G24" s="44" t="s">
        <v>12</v>
      </c>
      <c r="H24" s="5"/>
      <c r="I24" s="5"/>
      <c r="J24" s="5"/>
      <c r="K24" s="5"/>
      <c r="L24" s="5"/>
      <c r="M24" s="5"/>
      <c r="N24" s="5"/>
      <c r="O24" s="6"/>
      <c r="P24" s="10"/>
    </row>
    <row r="25" spans="1:16" ht="15" thickBot="1" x14ac:dyDescent="0.45">
      <c r="A25" s="10"/>
      <c r="B25" s="5"/>
      <c r="C25" s="5"/>
      <c r="D25" s="36">
        <f>D12+F12+H12</f>
        <v>0.17901654175315315</v>
      </c>
      <c r="E25" s="5"/>
      <c r="F25" s="5"/>
      <c r="G25" s="5"/>
      <c r="H25" s="5"/>
      <c r="I25" s="5"/>
      <c r="J25" s="5"/>
      <c r="K25" s="5"/>
      <c r="L25" s="5"/>
      <c r="M25" s="5"/>
      <c r="N25" s="5"/>
      <c r="O25" s="6"/>
      <c r="P25" s="10"/>
    </row>
    <row r="26" spans="1:16" ht="15" thickBot="1" x14ac:dyDescent="0.45">
      <c r="A26" s="10"/>
      <c r="B26" s="5"/>
      <c r="C26" s="5"/>
      <c r="D26" s="36">
        <f>D13+F13+H13</f>
        <v>0.25873739828268266</v>
      </c>
      <c r="E26" s="5"/>
      <c r="F26" s="5"/>
      <c r="G26" s="5"/>
      <c r="H26" s="5"/>
      <c r="I26" s="5"/>
      <c r="J26" s="5"/>
      <c r="K26" s="5"/>
      <c r="L26" s="5"/>
      <c r="M26" s="5"/>
      <c r="N26" s="5"/>
      <c r="O26" s="6"/>
      <c r="P26" s="10"/>
    </row>
    <row r="27" spans="1:16" ht="15" thickBot="1" x14ac:dyDescent="0.45">
      <c r="A27" s="10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6"/>
      <c r="P27" s="10"/>
    </row>
    <row r="28" spans="1:16" ht="15" thickBot="1" x14ac:dyDescent="0.45">
      <c r="A28" s="10"/>
      <c r="B28" s="5"/>
      <c r="C28" s="5"/>
      <c r="D28" s="36">
        <f>D16+F16</f>
        <v>0.12586497975892727</v>
      </c>
      <c r="E28" s="5"/>
      <c r="F28" s="36">
        <f>((1/(H15+J15))+(1/(H17+J17)))^-1</f>
        <v>5.3254953135749288E-2</v>
      </c>
      <c r="G28" s="5"/>
      <c r="H28" s="5">
        <f>L16</f>
        <v>291</v>
      </c>
      <c r="I28" s="44" t="s">
        <v>12</v>
      </c>
      <c r="J28" s="5"/>
      <c r="K28" s="5"/>
      <c r="L28" s="5"/>
      <c r="M28" s="5"/>
      <c r="N28" s="5"/>
      <c r="O28" s="6"/>
      <c r="P28" s="10"/>
    </row>
    <row r="29" spans="1:16" ht="15" thickBot="1" x14ac:dyDescent="0.45">
      <c r="A29" s="14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8"/>
      <c r="P29" s="10"/>
    </row>
    <row r="30" spans="1:16" ht="15" thickBot="1" x14ac:dyDescent="0.45">
      <c r="A30" s="10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6"/>
      <c r="P30" s="10"/>
    </row>
    <row r="31" spans="1:16" ht="15" thickBot="1" x14ac:dyDescent="0.45">
      <c r="A31" s="10"/>
      <c r="B31" s="5"/>
      <c r="C31" s="5"/>
      <c r="D31" s="36">
        <f>D20+F20</f>
        <v>0.26738823538799078</v>
      </c>
      <c r="E31" s="5"/>
      <c r="F31" s="5">
        <f>H20</f>
        <v>280.92777777777775</v>
      </c>
      <c r="G31" s="44" t="s">
        <v>12</v>
      </c>
      <c r="H31" s="5"/>
      <c r="I31" s="5"/>
      <c r="J31" s="5"/>
      <c r="K31" s="5"/>
      <c r="L31" s="5"/>
      <c r="M31" s="5"/>
      <c r="N31" s="5"/>
      <c r="O31" s="6"/>
      <c r="P31" s="10"/>
    </row>
    <row r="32" spans="1:16" ht="15" thickBot="1" x14ac:dyDescent="0.45">
      <c r="A32" s="10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6"/>
      <c r="P32" s="10"/>
    </row>
    <row r="33" spans="1:16" ht="15" thickBot="1" x14ac:dyDescent="0.45">
      <c r="A33" s="18">
        <f>A24</f>
        <v>294.26</v>
      </c>
      <c r="B33" s="28" t="s">
        <v>12</v>
      </c>
      <c r="C33" s="5"/>
      <c r="D33" s="36">
        <f>((1/D22)+(1/D23)+(1/D24)+(1/D25)+(1/D26))^-1</f>
        <v>3.951115076343472E-2</v>
      </c>
      <c r="E33" s="5"/>
      <c r="F33" s="5">
        <f>F24</f>
        <v>280.92777777777775</v>
      </c>
      <c r="G33" s="44" t="s">
        <v>12</v>
      </c>
      <c r="H33" s="5"/>
      <c r="I33" s="5"/>
      <c r="J33" s="5"/>
      <c r="K33" s="5"/>
      <c r="L33" s="5"/>
      <c r="M33" s="5"/>
      <c r="N33" s="5"/>
      <c r="O33" s="6"/>
      <c r="P33" s="10"/>
    </row>
    <row r="34" spans="1:16" ht="15" thickBot="1" x14ac:dyDescent="0.45">
      <c r="A34" s="10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6"/>
      <c r="P34" s="10"/>
    </row>
    <row r="35" spans="1:16" ht="15" thickBot="1" x14ac:dyDescent="0.45">
      <c r="A35" s="10"/>
      <c r="B35" s="5"/>
      <c r="C35" s="5"/>
      <c r="D35" s="36">
        <f>D28+F28</f>
        <v>0.17911993289467656</v>
      </c>
      <c r="E35" s="5"/>
      <c r="F35" s="5">
        <f>H28</f>
        <v>291</v>
      </c>
      <c r="G35" s="44" t="s">
        <v>12</v>
      </c>
      <c r="H35" s="5"/>
      <c r="I35" s="5"/>
      <c r="J35" s="5"/>
      <c r="K35" s="5"/>
      <c r="L35" s="5"/>
      <c r="M35" s="5"/>
      <c r="N35" s="5"/>
      <c r="O35" s="6"/>
      <c r="P35" s="10"/>
    </row>
    <row r="36" spans="1:16" x14ac:dyDescent="0.4">
      <c r="A36" s="10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6"/>
      <c r="P36" s="10"/>
    </row>
    <row r="37" spans="1:16" x14ac:dyDescent="0.4">
      <c r="A37" s="10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6"/>
      <c r="P37" s="10"/>
    </row>
    <row r="38" spans="1:16" ht="15" thickBot="1" x14ac:dyDescent="0.45">
      <c r="A38" s="14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8"/>
      <c r="P38" s="10"/>
    </row>
    <row r="39" spans="1:16" ht="15" thickBot="1" x14ac:dyDescent="0.45">
      <c r="A39" s="10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6"/>
      <c r="P39" s="10"/>
    </row>
    <row r="40" spans="1:16" ht="15" thickBot="1" x14ac:dyDescent="0.45">
      <c r="A40" s="18">
        <f>A33</f>
        <v>294.26</v>
      </c>
      <c r="B40" s="28" t="s">
        <v>12</v>
      </c>
      <c r="C40" s="5"/>
      <c r="D40" s="36">
        <f>((1/D31)+(1/D33))^-1</f>
        <v>3.4424366282606207E-2</v>
      </c>
      <c r="E40" s="5"/>
      <c r="F40" s="5">
        <f>F31</f>
        <v>280.92777777777775</v>
      </c>
      <c r="G40" s="44" t="s">
        <v>12</v>
      </c>
      <c r="H40" s="5"/>
      <c r="I40" s="37">
        <f>ABS(A40-F40)/D40</f>
        <v>387.2902731969445</v>
      </c>
      <c r="J40" s="38" t="s">
        <v>37</v>
      </c>
      <c r="K40" s="5"/>
      <c r="L40" s="5"/>
      <c r="M40" s="5"/>
      <c r="N40" s="5"/>
      <c r="O40" s="6"/>
      <c r="P40" s="10"/>
    </row>
    <row r="41" spans="1:16" ht="15" thickBot="1" x14ac:dyDescent="0.45">
      <c r="A41" s="10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6"/>
      <c r="P41" s="5"/>
    </row>
    <row r="42" spans="1:16" ht="15" thickBot="1" x14ac:dyDescent="0.45">
      <c r="A42" s="18">
        <f>A33</f>
        <v>294.26</v>
      </c>
      <c r="B42" s="28" t="s">
        <v>12</v>
      </c>
      <c r="C42" s="5"/>
      <c r="D42" s="36">
        <f>D35</f>
        <v>0.17911993289467656</v>
      </c>
      <c r="E42" s="5"/>
      <c r="F42" s="5">
        <f>F35</f>
        <v>291</v>
      </c>
      <c r="G42" s="44" t="s">
        <v>12</v>
      </c>
      <c r="H42" s="5"/>
      <c r="I42" s="37">
        <f>ABS(A42-F42)/D42</f>
        <v>18.200096144056104</v>
      </c>
      <c r="J42" s="38" t="s">
        <v>37</v>
      </c>
      <c r="K42" s="5"/>
      <c r="L42" s="5"/>
      <c r="M42" s="5"/>
      <c r="N42" s="5"/>
      <c r="O42" s="6"/>
      <c r="P42" s="5"/>
    </row>
    <row r="43" spans="1:16" ht="15" thickBot="1" x14ac:dyDescent="0.45">
      <c r="A43" s="14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8"/>
      <c r="P43" s="5"/>
    </row>
    <row r="46" spans="1:16" x14ac:dyDescent="0.4">
      <c r="E46" s="1" t="s">
        <v>47</v>
      </c>
      <c r="F46" s="1">
        <f>I40</f>
        <v>387.2902731969445</v>
      </c>
    </row>
    <row r="47" spans="1:16" x14ac:dyDescent="0.4">
      <c r="E47" s="1" t="s">
        <v>48</v>
      </c>
      <c r="F47" s="1">
        <f>I42</f>
        <v>18.200096144056104</v>
      </c>
    </row>
    <row r="48" spans="1:16" x14ac:dyDescent="0.4">
      <c r="E48" s="1" t="s">
        <v>49</v>
      </c>
      <c r="F48" s="1">
        <f>D40</f>
        <v>3.4424366282606207E-2</v>
      </c>
    </row>
    <row r="49" spans="5:6" x14ac:dyDescent="0.4">
      <c r="E49" s="1" t="s">
        <v>50</v>
      </c>
      <c r="F49" s="1">
        <f>D42</f>
        <v>0.17911993289467656</v>
      </c>
    </row>
  </sheetData>
  <pageMargins left="0.7" right="0.7" top="0.75" bottom="0.75" header="0.3" footer="0.3"/>
  <pageSetup scale="68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8561D-85E0-41B8-9BB2-E218E32600E4}">
  <sheetPr>
    <pageSetUpPr fitToPage="1"/>
  </sheetPr>
  <dimension ref="A1:AF17"/>
  <sheetViews>
    <sheetView workbookViewId="0">
      <selection activeCell="AL8" sqref="AL8"/>
    </sheetView>
  </sheetViews>
  <sheetFormatPr defaultColWidth="9.15234375" defaultRowHeight="14.6" x14ac:dyDescent="0.4"/>
  <cols>
    <col min="1" max="1" width="13.53515625" style="1" customWidth="1"/>
    <col min="2" max="3" width="9.69140625" style="1" customWidth="1"/>
    <col min="4" max="4" width="10.53515625" style="1" hidden="1" customWidth="1"/>
    <col min="5" max="5" width="10.53515625" style="1" customWidth="1"/>
    <col min="6" max="6" width="10.53515625" style="1" hidden="1" customWidth="1"/>
    <col min="7" max="7" width="10.53515625" style="1" customWidth="1"/>
    <col min="8" max="8" width="10.15234375" style="1" hidden="1" customWidth="1"/>
    <col min="9" max="9" width="8.53515625" style="1" hidden="1" customWidth="1"/>
    <col min="10" max="11" width="13" style="1" hidden="1" customWidth="1"/>
    <col min="12" max="13" width="13.53515625" style="1" hidden="1" customWidth="1"/>
    <col min="14" max="15" width="12" style="1" hidden="1" customWidth="1"/>
    <col min="16" max="16" width="13" style="1" hidden="1" customWidth="1"/>
    <col min="17" max="17" width="12.3046875" style="1" hidden="1" customWidth="1"/>
    <col min="18" max="18" width="12.53515625" style="1" hidden="1" customWidth="1"/>
    <col min="19" max="19" width="9.15234375" style="1" customWidth="1"/>
    <col min="20" max="23" width="11.3828125" style="1" customWidth="1"/>
    <col min="24" max="24" width="14.15234375" style="1" customWidth="1"/>
    <col min="25" max="25" width="10.53515625" style="1" bestFit="1" customWidth="1"/>
    <col min="26" max="26" width="11" style="1" customWidth="1"/>
    <col min="27" max="27" width="12.53515625" style="1" customWidth="1"/>
    <col min="28" max="16384" width="9.15234375" style="1"/>
  </cols>
  <sheetData>
    <row r="1" spans="1:32" s="2" customFormat="1" ht="51.75" customHeight="1" thickBot="1" x14ac:dyDescent="0.45">
      <c r="A1" s="50"/>
      <c r="B1" s="19" t="s">
        <v>32</v>
      </c>
      <c r="C1" s="19" t="s">
        <v>57</v>
      </c>
      <c r="D1" s="19" t="s">
        <v>29</v>
      </c>
      <c r="E1" s="19" t="s">
        <v>14</v>
      </c>
      <c r="F1" s="19" t="s">
        <v>13</v>
      </c>
      <c r="G1" s="19" t="s">
        <v>18</v>
      </c>
      <c r="H1" s="19" t="s">
        <v>19</v>
      </c>
      <c r="I1" s="19" t="s">
        <v>21</v>
      </c>
      <c r="J1" s="19" t="s">
        <v>22</v>
      </c>
      <c r="K1" s="19" t="s">
        <v>23</v>
      </c>
      <c r="L1" s="19" t="s">
        <v>24</v>
      </c>
      <c r="M1" s="19" t="s">
        <v>25</v>
      </c>
      <c r="N1" s="19" t="s">
        <v>20</v>
      </c>
      <c r="O1" s="19" t="s">
        <v>33</v>
      </c>
      <c r="P1" s="19" t="s">
        <v>26</v>
      </c>
      <c r="Q1" s="19" t="s">
        <v>27</v>
      </c>
      <c r="R1" s="19" t="s">
        <v>34</v>
      </c>
      <c r="S1" s="19" t="s">
        <v>44</v>
      </c>
      <c r="T1" s="19" t="s">
        <v>59</v>
      </c>
      <c r="U1" s="19" t="s">
        <v>58</v>
      </c>
      <c r="V1" s="19" t="s">
        <v>51</v>
      </c>
      <c r="W1" s="19" t="s">
        <v>52</v>
      </c>
      <c r="X1" s="19" t="s">
        <v>53</v>
      </c>
      <c r="Y1" s="19" t="s">
        <v>54</v>
      </c>
      <c r="Z1" s="19" t="s">
        <v>55</v>
      </c>
      <c r="AA1" s="20" t="s">
        <v>56</v>
      </c>
      <c r="AB1" s="47"/>
      <c r="AC1" s="47"/>
      <c r="AD1" s="47"/>
      <c r="AE1" s="47"/>
      <c r="AF1" s="47"/>
    </row>
    <row r="2" spans="1:32" x14ac:dyDescent="0.4">
      <c r="A2" s="51" t="s">
        <v>0</v>
      </c>
      <c r="B2" s="3">
        <v>6</v>
      </c>
      <c r="C2" s="3">
        <v>291.14999999999998</v>
      </c>
      <c r="D2" s="3">
        <v>70</v>
      </c>
      <c r="E2" s="3">
        <f>294.261</f>
        <v>294.26100000000002</v>
      </c>
      <c r="F2" s="3">
        <v>42</v>
      </c>
      <c r="G2" s="52">
        <f>(F2-32)*(5/9)+273.15</f>
        <v>278.70555555555552</v>
      </c>
      <c r="H2" s="52">
        <f>(($G2-$G$15)/($G$16-$G$15))*(H$16-H$15)+H$15</f>
        <v>1.260759877777778</v>
      </c>
      <c r="I2" s="52">
        <f t="shared" ref="I2:N2" si="0">(($G2-$G$15)/($G$16-$G$15))*(I$16-I$15)+I$15</f>
        <v>1.0065741111111111</v>
      </c>
      <c r="J2" s="53">
        <f t="shared" si="0"/>
        <v>1.7395277777777775E-5</v>
      </c>
      <c r="K2" s="53">
        <f t="shared" si="0"/>
        <v>1.3994794444444439E-5</v>
      </c>
      <c r="L2" s="53">
        <f t="shared" si="0"/>
        <v>2.4596444444444442E-2</v>
      </c>
      <c r="M2" s="53">
        <f t="shared" si="0"/>
        <v>1.9689133333333328E-5</v>
      </c>
      <c r="N2" s="52">
        <f t="shared" si="0"/>
        <v>0.71253655555555551</v>
      </c>
      <c r="O2" s="52">
        <f>(B2*2.25)/K2</f>
        <v>964644.39357014932</v>
      </c>
      <c r="P2" s="3" t="str">
        <f>IF(O2&gt;(5*10^5),"Turbulent","Laminar")</f>
        <v>Turbulent</v>
      </c>
      <c r="Q2" s="3">
        <f>(0.037*(O2^(4/5))-871)*(N2^(1/3))</f>
        <v>1248.0078087029287</v>
      </c>
      <c r="R2" s="54">
        <f>(L2/2.25)*Q2</f>
        <v>13.642913214664192</v>
      </c>
      <c r="S2" s="55" t="s">
        <v>16</v>
      </c>
      <c r="T2" s="56">
        <v>0.25993400356175678</v>
      </c>
      <c r="U2" s="56">
        <v>13.642913214664192</v>
      </c>
      <c r="V2" s="52">
        <v>3.3736490152755004E-2</v>
      </c>
      <c r="W2" s="52">
        <v>0.17555603667446104</v>
      </c>
      <c r="X2" s="52">
        <v>461.05698530035903</v>
      </c>
      <c r="Y2" s="52">
        <v>18.569569362317679</v>
      </c>
      <c r="Z2" s="57">
        <f>22.5</f>
        <v>22.5</v>
      </c>
      <c r="AA2" s="63">
        <f>(X2+Y2)-Z2</f>
        <v>457.12655466267671</v>
      </c>
    </row>
    <row r="3" spans="1:32" x14ac:dyDescent="0.4">
      <c r="A3" s="48" t="s">
        <v>1</v>
      </c>
      <c r="B3" s="5">
        <v>6</v>
      </c>
      <c r="C3" s="5">
        <v>291.14999999999998</v>
      </c>
      <c r="D3" s="5">
        <v>70</v>
      </c>
      <c r="E3" s="5">
        <f t="shared" ref="E3:E13" si="1">294.261</f>
        <v>294.26100000000002</v>
      </c>
      <c r="F3" s="5">
        <v>46</v>
      </c>
      <c r="G3" s="11">
        <f t="shared" ref="G3:G13" si="2">(F3-32)*(5/9)+273.15</f>
        <v>280.92777777777775</v>
      </c>
      <c r="H3" s="11">
        <f>(($G3-$G$15)/($G$16-$G$15))*(H$16-H$15)+H$15</f>
        <v>1.2503909888888891</v>
      </c>
      <c r="I3" s="11">
        <f t="shared" ref="I3:N6" si="3">(($G3-$G$15)/($G$16-$G$15))*(I$16-I$15)+I$15</f>
        <v>1.0066185555555556</v>
      </c>
      <c r="J3" s="12">
        <f t="shared" si="3"/>
        <v>1.7506388888888887E-5</v>
      </c>
      <c r="K3" s="12">
        <f t="shared" si="3"/>
        <v>1.4192572222222218E-5</v>
      </c>
      <c r="L3" s="12">
        <f t="shared" si="3"/>
        <v>2.4774222222222222E-2</v>
      </c>
      <c r="M3" s="12">
        <f t="shared" si="3"/>
        <v>1.998246666666666E-5</v>
      </c>
      <c r="N3" s="11">
        <f t="shared" si="3"/>
        <v>0.71195877777777772</v>
      </c>
      <c r="O3" s="11">
        <f t="shared" ref="O3:O13" si="4">(B3*2.25)/K3</f>
        <v>951201.78277917707</v>
      </c>
      <c r="P3" s="5" t="str">
        <f t="shared" ref="P3:P13" si="5">IF(O3&gt;(5*10^5),"Turbulent","Laminar")</f>
        <v>Turbulent</v>
      </c>
      <c r="Q3" s="5">
        <f t="shared" ref="Q3:Q13" si="6">(0.037*(O3^(4/5))-871)*(N3^(1/3))</f>
        <v>1225.0589450680573</v>
      </c>
      <c r="R3" s="13">
        <f t="shared" ref="R3:R13" si="7">(L3/2.25)*Q3</f>
        <v>13.488836684638745</v>
      </c>
      <c r="S3" s="58" t="s">
        <v>16</v>
      </c>
      <c r="T3" s="23">
        <v>0.25357902760952838</v>
      </c>
      <c r="U3" s="23">
        <v>13.488836684638745</v>
      </c>
      <c r="V3" s="11">
        <v>3.4424366282606207E-2</v>
      </c>
      <c r="W3" s="11">
        <v>0.17911993289467656</v>
      </c>
      <c r="X3" s="11">
        <v>387.2902731969445</v>
      </c>
      <c r="Y3" s="11">
        <v>18.200096144056104</v>
      </c>
      <c r="Z3" s="59">
        <f t="shared" ref="Z3:Z13" si="8">22.5</f>
        <v>22.5</v>
      </c>
      <c r="AA3" s="64">
        <f>(X3+Y3)-Z3</f>
        <v>382.99036934100059</v>
      </c>
    </row>
    <row r="4" spans="1:32" x14ac:dyDescent="0.4">
      <c r="A4" s="48" t="s">
        <v>2</v>
      </c>
      <c r="B4" s="5">
        <v>7</v>
      </c>
      <c r="C4" s="5">
        <v>291.14999999999998</v>
      </c>
      <c r="D4" s="5">
        <v>70</v>
      </c>
      <c r="E4" s="5">
        <f t="shared" si="1"/>
        <v>294.26100000000002</v>
      </c>
      <c r="F4" s="5">
        <v>55</v>
      </c>
      <c r="G4" s="11">
        <f t="shared" si="2"/>
        <v>285.92777777777775</v>
      </c>
      <c r="H4" s="11">
        <f>(($G4-$G$15)/($G$16-$G$15))*(H$16-H$15)+H$15</f>
        <v>1.227060988888889</v>
      </c>
      <c r="I4" s="11">
        <f t="shared" si="3"/>
        <v>1.0067185555555556</v>
      </c>
      <c r="J4" s="12">
        <f t="shared" si="3"/>
        <v>1.7756388888888886E-5</v>
      </c>
      <c r="K4" s="12">
        <f t="shared" si="3"/>
        <v>1.4637572222222218E-5</v>
      </c>
      <c r="L4" s="12">
        <f t="shared" si="3"/>
        <v>2.5174222222222219E-2</v>
      </c>
      <c r="M4" s="12">
        <f t="shared" si="3"/>
        <v>2.0642466666666661E-5</v>
      </c>
      <c r="N4" s="11">
        <f t="shared" si="3"/>
        <v>0.71065877777777775</v>
      </c>
      <c r="O4" s="11">
        <f t="shared" si="4"/>
        <v>1075998.1068505975</v>
      </c>
      <c r="P4" s="5" t="str">
        <f t="shared" si="5"/>
        <v>Turbulent</v>
      </c>
      <c r="Q4" s="5">
        <f t="shared" si="6"/>
        <v>1431.7754584270342</v>
      </c>
      <c r="R4" s="13">
        <f t="shared" si="7"/>
        <v>16.019481583451668</v>
      </c>
      <c r="S4" s="58" t="s">
        <v>16</v>
      </c>
      <c r="T4" s="23">
        <v>0.23543995631649883</v>
      </c>
      <c r="U4" s="23">
        <v>16.019481583451668</v>
      </c>
      <c r="V4" s="11">
        <v>3.6498722382521963E-2</v>
      </c>
      <c r="W4" s="11">
        <v>0.19034814990244392</v>
      </c>
      <c r="X4" s="11">
        <v>228.28805169937317</v>
      </c>
      <c r="Y4" s="11">
        <v>17.126512664666226</v>
      </c>
      <c r="Z4" s="59">
        <f t="shared" si="8"/>
        <v>22.5</v>
      </c>
      <c r="AA4" s="64">
        <f>(X4+Y4)-Z4</f>
        <v>222.91456436403939</v>
      </c>
    </row>
    <row r="5" spans="1:32" x14ac:dyDescent="0.4">
      <c r="A5" s="48" t="s">
        <v>3</v>
      </c>
      <c r="B5" s="5">
        <v>6</v>
      </c>
      <c r="C5" s="5">
        <v>291.14999999999998</v>
      </c>
      <c r="D5" s="5">
        <v>70</v>
      </c>
      <c r="E5" s="5">
        <f t="shared" si="1"/>
        <v>294.26100000000002</v>
      </c>
      <c r="F5" s="5">
        <v>66</v>
      </c>
      <c r="G5" s="11">
        <f t="shared" si="2"/>
        <v>292.03888888888889</v>
      </c>
      <c r="H5" s="11">
        <f>(($G5-$G$15)/($G$16-$G$15))*(H$16-H$15)+H$15</f>
        <v>1.1985465444444445</v>
      </c>
      <c r="I5" s="11">
        <f t="shared" si="3"/>
        <v>1.0068407777777777</v>
      </c>
      <c r="J5" s="12">
        <f t="shared" si="3"/>
        <v>1.8061944444444443E-5</v>
      </c>
      <c r="K5" s="12">
        <f t="shared" si="3"/>
        <v>1.5181461111111111E-5</v>
      </c>
      <c r="L5" s="12">
        <f t="shared" si="3"/>
        <v>2.5663111111111112E-2</v>
      </c>
      <c r="M5" s="12">
        <f t="shared" si="3"/>
        <v>2.1449133333333331E-5</v>
      </c>
      <c r="N5" s="11">
        <f t="shared" si="3"/>
        <v>0.70906988888888889</v>
      </c>
      <c r="O5" s="11">
        <f t="shared" si="4"/>
        <v>889242.47153783694</v>
      </c>
      <c r="P5" s="5" t="str">
        <f t="shared" si="5"/>
        <v>Turbulent</v>
      </c>
      <c r="Q5" s="5">
        <f t="shared" si="6"/>
        <v>1118.4771180360206</v>
      </c>
      <c r="R5" s="13">
        <f t="shared" si="7"/>
        <v>12.757156691286104</v>
      </c>
      <c r="S5" s="58" t="s">
        <v>16</v>
      </c>
      <c r="T5" s="23">
        <v>0.19137794643216863</v>
      </c>
      <c r="U5" s="23">
        <v>12.757156691286104</v>
      </c>
      <c r="V5" s="11">
        <v>4.3521770639140644E-2</v>
      </c>
      <c r="W5" s="11">
        <v>0.22646645065936066</v>
      </c>
      <c r="X5" s="11">
        <v>51.034484086765922</v>
      </c>
      <c r="Y5" s="11">
        <v>14.39506819004956</v>
      </c>
      <c r="Z5" s="59">
        <f t="shared" si="8"/>
        <v>22.5</v>
      </c>
      <c r="AA5" s="64">
        <f>(X5+Y5)-Z5</f>
        <v>42.929552276815485</v>
      </c>
    </row>
    <row r="6" spans="1:32" x14ac:dyDescent="0.4">
      <c r="A6" s="48" t="s">
        <v>4</v>
      </c>
      <c r="B6" s="5">
        <v>5</v>
      </c>
      <c r="C6" s="5">
        <v>291.14999999999998</v>
      </c>
      <c r="D6" s="5">
        <v>70</v>
      </c>
      <c r="E6" s="5">
        <f t="shared" si="1"/>
        <v>294.26100000000002</v>
      </c>
      <c r="F6" s="5">
        <v>76</v>
      </c>
      <c r="G6" s="11">
        <f t="shared" si="2"/>
        <v>297.59444444444443</v>
      </c>
      <c r="H6" s="11">
        <f>(($G6-$G$15)/($G$16-$G$15))*(H$16-H$15)+H$15</f>
        <v>1.1726243222222223</v>
      </c>
      <c r="I6" s="11">
        <f t="shared" si="3"/>
        <v>1.0069518888888889</v>
      </c>
      <c r="J6" s="12">
        <f t="shared" si="3"/>
        <v>1.8339722222222221E-5</v>
      </c>
      <c r="K6" s="12">
        <f t="shared" si="3"/>
        <v>1.5675905555555551E-5</v>
      </c>
      <c r="L6" s="12">
        <f t="shared" si="3"/>
        <v>2.6107555555555554E-2</v>
      </c>
      <c r="M6" s="12">
        <f t="shared" si="3"/>
        <v>2.2182466666666663E-5</v>
      </c>
      <c r="N6" s="11">
        <f t="shared" si="3"/>
        <v>0.70762544444444442</v>
      </c>
      <c r="O6" s="11">
        <f t="shared" si="4"/>
        <v>717661.8894602228</v>
      </c>
      <c r="P6" s="5" t="str">
        <f t="shared" si="5"/>
        <v>Turbulent</v>
      </c>
      <c r="Q6" s="5">
        <f t="shared" si="6"/>
        <v>819.24680910577638</v>
      </c>
      <c r="R6" s="13">
        <f t="shared" si="7"/>
        <v>9.5060140366403001</v>
      </c>
      <c r="S6" s="60" t="s">
        <v>17</v>
      </c>
      <c r="T6" s="23">
        <v>0.20355602478240764</v>
      </c>
      <c r="U6" s="23">
        <v>9.5060140366403001</v>
      </c>
      <c r="V6" s="11">
        <v>4.1484007091049394E-2</v>
      </c>
      <c r="W6" s="11">
        <v>0.21492329058659401</v>
      </c>
      <c r="X6" s="11">
        <v>80.379034675362504</v>
      </c>
      <c r="Y6" s="11">
        <v>15.168202529853392</v>
      </c>
      <c r="Z6" s="59">
        <f t="shared" si="8"/>
        <v>22.5</v>
      </c>
      <c r="AA6" s="64">
        <f>((X6+Y6)+Z6)*-1</f>
        <v>-118.04723720521589</v>
      </c>
    </row>
    <row r="7" spans="1:32" x14ac:dyDescent="0.4">
      <c r="A7" s="48" t="s">
        <v>5</v>
      </c>
      <c r="B7" s="5">
        <v>5</v>
      </c>
      <c r="C7" s="5">
        <v>291.14999999999998</v>
      </c>
      <c r="D7" s="5">
        <v>70</v>
      </c>
      <c r="E7" s="5">
        <f t="shared" si="1"/>
        <v>294.26100000000002</v>
      </c>
      <c r="F7" s="5">
        <v>84</v>
      </c>
      <c r="G7" s="11">
        <f t="shared" si="2"/>
        <v>302.03888888888889</v>
      </c>
      <c r="H7" s="11">
        <f>(($G7-$G$16)/($G$17-$G$16))*(H$17-H$16)+H$16</f>
        <v>1.1546145777777777</v>
      </c>
      <c r="I7" s="11">
        <f t="shared" ref="I7:N7" si="9">(($G7-$G$16)/($G$17-$G$16))*(I$17-I$16)+I$16</f>
        <v>1.0070815555555555</v>
      </c>
      <c r="J7" s="12">
        <f t="shared" si="9"/>
        <v>1.8556235555555553E-5</v>
      </c>
      <c r="K7" s="12">
        <f t="shared" si="9"/>
        <v>1.6095112222222222E-5</v>
      </c>
      <c r="L7" s="12">
        <f t="shared" si="9"/>
        <v>2.6450877777777777E-2</v>
      </c>
      <c r="M7" s="12">
        <f t="shared" si="9"/>
        <v>2.2801755555555553E-5</v>
      </c>
      <c r="N7" s="11">
        <f t="shared" si="9"/>
        <v>0.70671455555555551</v>
      </c>
      <c r="O7" s="11">
        <f t="shared" si="4"/>
        <v>698969.96334497968</v>
      </c>
      <c r="P7" s="5" t="str">
        <f t="shared" si="5"/>
        <v>Turbulent</v>
      </c>
      <c r="Q7" s="5">
        <f t="shared" si="6"/>
        <v>785.57924511443889</v>
      </c>
      <c r="R7" s="13">
        <f t="shared" si="7"/>
        <v>9.235226932124867</v>
      </c>
      <c r="S7" s="60" t="s">
        <v>17</v>
      </c>
      <c r="T7" s="23">
        <v>0.23194885386294034</v>
      </c>
      <c r="U7" s="23">
        <v>9.235226932124867</v>
      </c>
      <c r="V7" s="11">
        <v>3.7248621729669799E-2</v>
      </c>
      <c r="W7" s="11">
        <v>0.19271023655945602</v>
      </c>
      <c r="X7" s="11">
        <v>208.83695899794193</v>
      </c>
      <c r="Y7" s="11">
        <v>16.916589685126549</v>
      </c>
      <c r="Z7" s="59">
        <f t="shared" si="8"/>
        <v>22.5</v>
      </c>
      <c r="AA7" s="64">
        <f>((X7+Y7)+Z7)*-1</f>
        <v>-248.25354868306849</v>
      </c>
    </row>
    <row r="8" spans="1:32" x14ac:dyDescent="0.4">
      <c r="A8" s="48" t="s">
        <v>6</v>
      </c>
      <c r="B8" s="5">
        <v>5</v>
      </c>
      <c r="C8" s="5">
        <v>291.14999999999998</v>
      </c>
      <c r="D8" s="5">
        <v>70</v>
      </c>
      <c r="E8" s="5">
        <f t="shared" si="1"/>
        <v>294.26100000000002</v>
      </c>
      <c r="F8" s="5">
        <v>88</v>
      </c>
      <c r="G8" s="11">
        <f t="shared" si="2"/>
        <v>304.26111111111106</v>
      </c>
      <c r="H8" s="11">
        <f t="shared" ref="H8:N9" si="10">(($G8-$G$16)/($G$17-$G$16))*(H$17-H$16)+H$16</f>
        <v>1.1472190222222223</v>
      </c>
      <c r="I8" s="11">
        <f t="shared" si="10"/>
        <v>1.0071704444444443</v>
      </c>
      <c r="J8" s="12">
        <f t="shared" si="10"/>
        <v>1.8661124444444441E-5</v>
      </c>
      <c r="K8" s="12">
        <f t="shared" si="10"/>
        <v>1.6318667777777772E-5</v>
      </c>
      <c r="L8" s="12">
        <f t="shared" si="10"/>
        <v>2.661532222222222E-2</v>
      </c>
      <c r="M8" s="12">
        <f t="shared" si="10"/>
        <v>2.3130644444444434E-5</v>
      </c>
      <c r="N8" s="11">
        <f t="shared" si="10"/>
        <v>0.70640344444444436</v>
      </c>
      <c r="O8" s="11">
        <f t="shared" si="4"/>
        <v>689394.51143921702</v>
      </c>
      <c r="P8" s="5" t="str">
        <f t="shared" si="5"/>
        <v>Turbulent</v>
      </c>
      <c r="Q8" s="5">
        <f t="shared" si="6"/>
        <v>768.33063734623011</v>
      </c>
      <c r="R8" s="13">
        <f t="shared" si="7"/>
        <v>9.0886077716334572</v>
      </c>
      <c r="S8" s="60" t="s">
        <v>17</v>
      </c>
      <c r="T8" s="23">
        <v>0.24097102571067563</v>
      </c>
      <c r="U8" s="23">
        <v>9.0886077716334572</v>
      </c>
      <c r="V8" s="11">
        <v>3.6117522649021898E-2</v>
      </c>
      <c r="W8" s="11">
        <v>0.1867456398553585</v>
      </c>
      <c r="X8" s="11">
        <v>276.90468164991688</v>
      </c>
      <c r="Y8" s="11">
        <v>17.456900212101246</v>
      </c>
      <c r="Z8" s="59">
        <f t="shared" si="8"/>
        <v>22.5</v>
      </c>
      <c r="AA8" s="64">
        <f>((X8+Y8)+Z8)*-1</f>
        <v>-316.86158186201811</v>
      </c>
    </row>
    <row r="9" spans="1:32" x14ac:dyDescent="0.4">
      <c r="A9" s="48" t="s">
        <v>7</v>
      </c>
      <c r="B9" s="5">
        <v>5</v>
      </c>
      <c r="C9" s="5">
        <v>291.14999999999998</v>
      </c>
      <c r="D9" s="5">
        <v>70</v>
      </c>
      <c r="E9" s="5">
        <f t="shared" si="1"/>
        <v>294.26100000000002</v>
      </c>
      <c r="F9" s="5">
        <v>86</v>
      </c>
      <c r="G9" s="11">
        <f t="shared" si="2"/>
        <v>303.14999999999998</v>
      </c>
      <c r="H9" s="11">
        <f t="shared" si="10"/>
        <v>1.1509168000000001</v>
      </c>
      <c r="I9" s="11">
        <f t="shared" si="10"/>
        <v>1.007126</v>
      </c>
      <c r="J9" s="12">
        <f t="shared" si="10"/>
        <v>1.8608679999999999E-5</v>
      </c>
      <c r="K9" s="12">
        <f t="shared" si="10"/>
        <v>1.6206889999999995E-5</v>
      </c>
      <c r="L9" s="12">
        <f t="shared" si="10"/>
        <v>2.6533099999999997E-2</v>
      </c>
      <c r="M9" s="12">
        <f t="shared" si="10"/>
        <v>2.2966199999999994E-5</v>
      </c>
      <c r="N9" s="11">
        <f t="shared" si="10"/>
        <v>0.70655899999999994</v>
      </c>
      <c r="O9" s="11">
        <f t="shared" si="4"/>
        <v>694149.21678372612</v>
      </c>
      <c r="P9" s="5" t="str">
        <f t="shared" si="5"/>
        <v>Turbulent</v>
      </c>
      <c r="Q9" s="5">
        <f t="shared" si="6"/>
        <v>776.9011374030631</v>
      </c>
      <c r="R9" s="13">
        <f t="shared" si="7"/>
        <v>9.1615980305907616</v>
      </c>
      <c r="S9" s="60" t="s">
        <v>17</v>
      </c>
      <c r="T9" s="23">
        <v>0.23670401249327039</v>
      </c>
      <c r="U9" s="23">
        <v>9.1615980305907616</v>
      </c>
      <c r="V9" s="11">
        <v>3.6641302600530168E-2</v>
      </c>
      <c r="W9" s="11">
        <v>0.1895100322049835</v>
      </c>
      <c r="X9" s="11">
        <v>242.62237881988824</v>
      </c>
      <c r="Y9" s="11">
        <v>17.202255532698196</v>
      </c>
      <c r="Z9" s="59">
        <f t="shared" si="8"/>
        <v>22.5</v>
      </c>
      <c r="AA9" s="64">
        <f>((X9+Y9)+Z9)*-1</f>
        <v>-282.32463435258643</v>
      </c>
    </row>
    <row r="10" spans="1:32" x14ac:dyDescent="0.4">
      <c r="A10" s="48" t="s">
        <v>8</v>
      </c>
      <c r="B10" s="5">
        <v>5</v>
      </c>
      <c r="C10" s="5">
        <v>291.14999999999998</v>
      </c>
      <c r="D10" s="5">
        <v>70</v>
      </c>
      <c r="E10" s="5">
        <f t="shared" si="1"/>
        <v>294.26100000000002</v>
      </c>
      <c r="F10" s="5">
        <v>79</v>
      </c>
      <c r="G10" s="11">
        <f t="shared" si="2"/>
        <v>299.26111111111106</v>
      </c>
      <c r="H10" s="11">
        <f t="shared" ref="H10:N13" si="11">(($G10-$G$15)/($G$16-$G$15))*(H$16-H$15)+H$15</f>
        <v>1.1648476555555558</v>
      </c>
      <c r="I10" s="11">
        <f t="shared" si="11"/>
        <v>1.0069852222222222</v>
      </c>
      <c r="J10" s="12">
        <f t="shared" si="11"/>
        <v>1.8423055555555554E-5</v>
      </c>
      <c r="K10" s="12">
        <f t="shared" si="11"/>
        <v>1.5824238888888885E-5</v>
      </c>
      <c r="L10" s="12">
        <f t="shared" si="11"/>
        <v>2.6240888888888887E-2</v>
      </c>
      <c r="M10" s="12">
        <f t="shared" si="11"/>
        <v>2.2402466666666658E-5</v>
      </c>
      <c r="N10" s="11">
        <f t="shared" si="11"/>
        <v>0.70719211111111113</v>
      </c>
      <c r="O10" s="11">
        <f t="shared" si="4"/>
        <v>710934.66668398678</v>
      </c>
      <c r="P10" s="5" t="str">
        <f t="shared" si="5"/>
        <v>Turbulent</v>
      </c>
      <c r="Q10" s="5">
        <f t="shared" si="6"/>
        <v>807.1066889467362</v>
      </c>
      <c r="R10" s="13">
        <f t="shared" si="7"/>
        <v>9.4129764205023605</v>
      </c>
      <c r="S10" s="60" t="s">
        <v>17</v>
      </c>
      <c r="T10" s="23">
        <v>0.21676014174002908</v>
      </c>
      <c r="U10" s="23">
        <v>9.4129764205023605</v>
      </c>
      <c r="V10" s="11">
        <v>3.9373225356347526E-2</v>
      </c>
      <c r="W10" s="11">
        <v>0.20387064845241659</v>
      </c>
      <c r="X10" s="11">
        <v>127.01807042345393</v>
      </c>
      <c r="Y10" s="11">
        <v>15.990531372449501</v>
      </c>
      <c r="Z10" s="59">
        <f t="shared" si="8"/>
        <v>22.5</v>
      </c>
      <c r="AA10" s="64">
        <f>((X10+Y10)+Z10)*-1</f>
        <v>-165.50860179590345</v>
      </c>
    </row>
    <row r="11" spans="1:32" x14ac:dyDescent="0.4">
      <c r="A11" s="48" t="s">
        <v>9</v>
      </c>
      <c r="B11" s="5">
        <v>5</v>
      </c>
      <c r="C11" s="5">
        <v>291.14999999999998</v>
      </c>
      <c r="D11" s="5">
        <v>70</v>
      </c>
      <c r="E11" s="5">
        <f t="shared" si="1"/>
        <v>294.26100000000002</v>
      </c>
      <c r="F11" s="5">
        <v>68</v>
      </c>
      <c r="G11" s="11">
        <f t="shared" si="2"/>
        <v>293.14999999999998</v>
      </c>
      <c r="H11" s="11">
        <f t="shared" si="11"/>
        <v>1.1933621000000001</v>
      </c>
      <c r="I11" s="11">
        <f t="shared" si="11"/>
        <v>1.0068629999999998</v>
      </c>
      <c r="J11" s="12">
        <f t="shared" si="11"/>
        <v>1.8117499999999997E-5</v>
      </c>
      <c r="K11" s="12">
        <f t="shared" si="11"/>
        <v>1.5280349999999997E-5</v>
      </c>
      <c r="L11" s="12">
        <f t="shared" si="11"/>
        <v>2.5751999999999997E-2</v>
      </c>
      <c r="M11" s="12">
        <f t="shared" si="11"/>
        <v>2.1595799999999994E-5</v>
      </c>
      <c r="N11" s="11">
        <f t="shared" si="11"/>
        <v>0.70878099999999999</v>
      </c>
      <c r="O11" s="11">
        <f t="shared" si="4"/>
        <v>736239.68037381361</v>
      </c>
      <c r="P11" s="5" t="str">
        <f t="shared" si="5"/>
        <v>Turbulent</v>
      </c>
      <c r="Q11" s="5">
        <f t="shared" si="6"/>
        <v>852.66549923058847</v>
      </c>
      <c r="R11" s="13">
        <f t="shared" si="7"/>
        <v>9.7590408605271612</v>
      </c>
      <c r="S11" s="58" t="s">
        <v>16</v>
      </c>
      <c r="T11" s="23">
        <v>0.17178250264037537</v>
      </c>
      <c r="U11" s="23">
        <v>9.7590408605271612</v>
      </c>
      <c r="V11" s="11">
        <v>4.7894825393828021E-2</v>
      </c>
      <c r="W11" s="11">
        <v>0.24846949816840241</v>
      </c>
      <c r="X11" s="11">
        <v>23.175781326536669</v>
      </c>
      <c r="Y11" s="11">
        <v>13.120322711766001</v>
      </c>
      <c r="Z11" s="59">
        <f t="shared" si="8"/>
        <v>22.5</v>
      </c>
      <c r="AA11" s="64">
        <f>(X11+Y11)-Z11</f>
        <v>13.796104038302673</v>
      </c>
    </row>
    <row r="12" spans="1:32" x14ac:dyDescent="0.4">
      <c r="A12" s="48" t="s">
        <v>10</v>
      </c>
      <c r="B12" s="5">
        <v>6</v>
      </c>
      <c r="C12" s="5">
        <v>291.14999999999998</v>
      </c>
      <c r="D12" s="5">
        <v>70</v>
      </c>
      <c r="E12" s="5">
        <f t="shared" si="1"/>
        <v>294.26100000000002</v>
      </c>
      <c r="F12" s="5">
        <v>57</v>
      </c>
      <c r="G12" s="11">
        <f t="shared" si="2"/>
        <v>287.03888888888889</v>
      </c>
      <c r="H12" s="11">
        <f t="shared" si="11"/>
        <v>1.2218765444444444</v>
      </c>
      <c r="I12" s="11">
        <f t="shared" si="11"/>
        <v>1.0067407777777777</v>
      </c>
      <c r="J12" s="12">
        <f t="shared" si="11"/>
        <v>1.7811944444444444E-5</v>
      </c>
      <c r="K12" s="12">
        <f t="shared" si="11"/>
        <v>1.4736461111111111E-5</v>
      </c>
      <c r="L12" s="12">
        <f t="shared" si="11"/>
        <v>2.5263111111111111E-2</v>
      </c>
      <c r="M12" s="12">
        <f t="shared" si="11"/>
        <v>2.0789133333333334E-5</v>
      </c>
      <c r="N12" s="11">
        <f t="shared" si="11"/>
        <v>0.71036988888888886</v>
      </c>
      <c r="O12" s="11">
        <f t="shared" si="4"/>
        <v>916095.11253832618</v>
      </c>
      <c r="P12" s="5" t="str">
        <f t="shared" si="5"/>
        <v>Turbulent</v>
      </c>
      <c r="Q12" s="5">
        <f t="shared" si="6"/>
        <v>1164.834516146791</v>
      </c>
      <c r="R12" s="13">
        <f t="shared" si="7"/>
        <v>13.078819469988325</v>
      </c>
      <c r="S12" s="58" t="s">
        <v>16</v>
      </c>
      <c r="T12" s="23">
        <v>0.2300941964068326</v>
      </c>
      <c r="U12" s="23">
        <v>13.078819469988325</v>
      </c>
      <c r="V12" s="11">
        <v>3.7288141904602237E-2</v>
      </c>
      <c r="W12" s="11">
        <v>0.19399419346659774</v>
      </c>
      <c r="X12" s="11">
        <v>193.65703792872137</v>
      </c>
      <c r="Y12" s="11">
        <v>16.804626683639906</v>
      </c>
      <c r="Z12" s="59">
        <f t="shared" si="8"/>
        <v>22.5</v>
      </c>
      <c r="AA12" s="64">
        <f>(X12+Y12)-Z12</f>
        <v>187.96166461236126</v>
      </c>
    </row>
    <row r="13" spans="1:32" ht="15" thickBot="1" x14ac:dyDescent="0.45">
      <c r="A13" s="49" t="s">
        <v>11</v>
      </c>
      <c r="B13" s="7">
        <v>6</v>
      </c>
      <c r="C13" s="7">
        <v>291.14999999999998</v>
      </c>
      <c r="D13" s="7">
        <v>70</v>
      </c>
      <c r="E13" s="7">
        <f t="shared" si="1"/>
        <v>294.26100000000002</v>
      </c>
      <c r="F13" s="7">
        <v>46</v>
      </c>
      <c r="G13" s="15">
        <f t="shared" si="2"/>
        <v>280.92777777777775</v>
      </c>
      <c r="H13" s="15">
        <f t="shared" si="11"/>
        <v>1.2503909888888891</v>
      </c>
      <c r="I13" s="15">
        <f t="shared" si="11"/>
        <v>1.0066185555555556</v>
      </c>
      <c r="J13" s="16">
        <f t="shared" si="11"/>
        <v>1.7506388888888887E-5</v>
      </c>
      <c r="K13" s="16">
        <f t="shared" si="11"/>
        <v>1.4192572222222218E-5</v>
      </c>
      <c r="L13" s="16">
        <f t="shared" si="11"/>
        <v>2.4774222222222222E-2</v>
      </c>
      <c r="M13" s="16">
        <f t="shared" si="11"/>
        <v>1.998246666666666E-5</v>
      </c>
      <c r="N13" s="15">
        <f t="shared" si="11"/>
        <v>0.71195877777777772</v>
      </c>
      <c r="O13" s="15">
        <f t="shared" si="4"/>
        <v>951201.78277917707</v>
      </c>
      <c r="P13" s="7" t="str">
        <f t="shared" si="5"/>
        <v>Turbulent</v>
      </c>
      <c r="Q13" s="7">
        <f t="shared" si="6"/>
        <v>1225.0589450680573</v>
      </c>
      <c r="R13" s="17">
        <f t="shared" si="7"/>
        <v>13.488836684638745</v>
      </c>
      <c r="S13" s="61" t="s">
        <v>16</v>
      </c>
      <c r="T13" s="25">
        <v>0.25357902760952838</v>
      </c>
      <c r="U13" s="25">
        <v>13.488836684638745</v>
      </c>
      <c r="V13" s="15">
        <v>3.4424366282606207E-2</v>
      </c>
      <c r="W13" s="15">
        <v>0.17911993289467656</v>
      </c>
      <c r="X13" s="15">
        <v>387.2902731969445</v>
      </c>
      <c r="Y13" s="15">
        <v>18.200096144056104</v>
      </c>
      <c r="Z13" s="62">
        <f t="shared" si="8"/>
        <v>22.5</v>
      </c>
      <c r="AA13" s="65">
        <f>(X13+Y13)-Z13</f>
        <v>382.99036934100059</v>
      </c>
    </row>
    <row r="15" spans="1:32" hidden="1" x14ac:dyDescent="0.4">
      <c r="F15" s="83" t="s">
        <v>31</v>
      </c>
      <c r="G15" s="3">
        <v>250</v>
      </c>
      <c r="H15" s="3">
        <v>1.3947000000000001</v>
      </c>
      <c r="I15" s="3">
        <v>1.006</v>
      </c>
      <c r="J15" s="3">
        <f>159.6*10^-7</f>
        <v>1.596E-5</v>
      </c>
      <c r="K15" s="3">
        <f>11.44*10^-6</f>
        <v>1.1439999999999999E-5</v>
      </c>
      <c r="L15" s="3">
        <f>22.3*10^-3</f>
        <v>2.23E-2</v>
      </c>
      <c r="M15" s="3">
        <f>15.9*10^-6</f>
        <v>1.59E-5</v>
      </c>
      <c r="N15" s="4">
        <v>0.72</v>
      </c>
      <c r="O15" s="5"/>
    </row>
    <row r="16" spans="1:32" hidden="1" x14ac:dyDescent="0.4">
      <c r="F16" s="84"/>
      <c r="G16" s="5">
        <v>300</v>
      </c>
      <c r="H16" s="5">
        <v>1.1614</v>
      </c>
      <c r="I16" s="5">
        <v>1.0069999999999999</v>
      </c>
      <c r="J16" s="5">
        <f>184.6*10^-7</f>
        <v>1.8459999999999999E-5</v>
      </c>
      <c r="K16" s="5">
        <f>15.89*10^-6</f>
        <v>1.5889999999999999E-5</v>
      </c>
      <c r="L16" s="5">
        <f>26.3*10^-3</f>
        <v>2.63E-2</v>
      </c>
      <c r="M16" s="5">
        <f>22.5*10^-6</f>
        <v>2.2499999999999998E-5</v>
      </c>
      <c r="N16" s="6">
        <v>0.70699999999999996</v>
      </c>
      <c r="O16" s="5"/>
    </row>
    <row r="17" spans="6:15" ht="15" hidden="1" thickBot="1" x14ac:dyDescent="0.45">
      <c r="F17" s="85"/>
      <c r="G17" s="7">
        <v>350</v>
      </c>
      <c r="H17" s="7">
        <v>0.995</v>
      </c>
      <c r="I17" s="7">
        <v>1.0089999999999999</v>
      </c>
      <c r="J17" s="7">
        <f>208.2*10^-7</f>
        <v>2.0819999999999997E-5</v>
      </c>
      <c r="K17" s="7">
        <f>20.92*10^-6</f>
        <v>2.092E-5</v>
      </c>
      <c r="L17" s="7">
        <f>30*10^-3</f>
        <v>0.03</v>
      </c>
      <c r="M17" s="7">
        <f>29.9*10^-6</f>
        <v>2.9899999999999998E-5</v>
      </c>
      <c r="N17" s="8">
        <v>0.7</v>
      </c>
      <c r="O17" s="5"/>
    </row>
  </sheetData>
  <mergeCells count="1">
    <mergeCell ref="F15:F17"/>
  </mergeCells>
  <pageMargins left="0.7" right="0.7" top="0.75" bottom="0.75" header="0.3" footer="0.3"/>
  <pageSetup scale="45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8023E-63EC-4579-A8CE-7F244269D73E}">
  <sheetPr>
    <pageSetUpPr fitToPage="1"/>
  </sheetPr>
  <dimension ref="A1:R43"/>
  <sheetViews>
    <sheetView workbookViewId="0"/>
  </sheetViews>
  <sheetFormatPr defaultColWidth="9.15234375" defaultRowHeight="14.6" x14ac:dyDescent="0.4"/>
  <cols>
    <col min="1" max="1" width="9.15234375" style="1"/>
    <col min="2" max="2" width="11" style="1" customWidth="1"/>
    <col min="3" max="9" width="9.15234375" style="1"/>
    <col min="10" max="10" width="10.53515625" style="1" customWidth="1"/>
    <col min="11" max="16384" width="9.15234375" style="1"/>
  </cols>
  <sheetData>
    <row r="1" spans="1:18" x14ac:dyDescent="0.4">
      <c r="A1" s="34" t="s">
        <v>28</v>
      </c>
      <c r="B1" s="9">
        <v>0.25357902760952838</v>
      </c>
      <c r="C1" s="42" t="s">
        <v>43</v>
      </c>
    </row>
    <row r="2" spans="1:18" x14ac:dyDescent="0.4">
      <c r="A2" s="35" t="s">
        <v>35</v>
      </c>
      <c r="B2" s="10">
        <v>13.488836684638745</v>
      </c>
      <c r="C2" s="43" t="s">
        <v>43</v>
      </c>
    </row>
    <row r="3" spans="1:18" ht="15" thickBot="1" x14ac:dyDescent="0.45">
      <c r="A3" s="35" t="s">
        <v>36</v>
      </c>
      <c r="B3" s="10">
        <v>280.92777777777775</v>
      </c>
      <c r="C3" s="45" t="s">
        <v>12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</row>
    <row r="4" spans="1:18" ht="15" thickBot="1" x14ac:dyDescent="0.45">
      <c r="A4" s="9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4"/>
      <c r="R4" s="5"/>
    </row>
    <row r="5" spans="1:18" ht="15" thickBot="1" x14ac:dyDescent="0.45">
      <c r="A5" s="10"/>
      <c r="B5" s="5"/>
      <c r="C5" s="5"/>
      <c r="D5" s="5"/>
      <c r="E5" s="5"/>
      <c r="F5" s="5"/>
      <c r="G5" s="5"/>
      <c r="H5" s="5"/>
      <c r="I5" s="36">
        <f>1/(B1*46)</f>
        <v>8.5729212860053375E-2</v>
      </c>
      <c r="J5" s="5"/>
      <c r="K5" s="36">
        <v>2.623E-2</v>
      </c>
      <c r="L5" s="66">
        <f>0.05/(0.058*46)</f>
        <v>1.8740629685157422E-2</v>
      </c>
      <c r="M5" s="5"/>
      <c r="N5" s="36">
        <f>1/(B2*46)</f>
        <v>1.6116386418659366E-3</v>
      </c>
      <c r="O5" s="5"/>
      <c r="P5" s="5"/>
      <c r="Q5" s="6"/>
      <c r="R5" s="5"/>
    </row>
    <row r="6" spans="1:18" ht="15" thickBot="1" x14ac:dyDescent="0.45">
      <c r="A6" s="10"/>
      <c r="B6" s="5"/>
      <c r="C6" s="5"/>
      <c r="D6" s="36">
        <f>1/(B1*28)</f>
        <v>0.14084084969865912</v>
      </c>
      <c r="E6" s="5"/>
      <c r="F6" s="36">
        <v>1.2841E-2</v>
      </c>
      <c r="G6" s="66">
        <f>0.05/(0.058*28)</f>
        <v>3.0788177339901478E-2</v>
      </c>
      <c r="H6" s="5"/>
      <c r="I6" s="5"/>
      <c r="J6" s="5"/>
      <c r="K6" s="5"/>
      <c r="L6" s="5"/>
      <c r="M6" s="5"/>
      <c r="N6" s="5"/>
      <c r="O6" s="5"/>
      <c r="P6" s="5">
        <f>B3</f>
        <v>280.92777777777775</v>
      </c>
      <c r="Q6" s="45" t="s">
        <v>12</v>
      </c>
      <c r="R6" s="5"/>
    </row>
    <row r="7" spans="1:18" ht="15" thickBot="1" x14ac:dyDescent="0.45">
      <c r="A7" s="10"/>
      <c r="B7" s="5"/>
      <c r="C7" s="5"/>
      <c r="D7" s="5"/>
      <c r="E7" s="5"/>
      <c r="F7" s="5"/>
      <c r="G7" s="5"/>
      <c r="H7" s="5"/>
      <c r="I7" s="36">
        <f>1/(B1*0.375)</f>
        <v>10.51611677749988</v>
      </c>
      <c r="J7" s="5"/>
      <c r="K7" s="36">
        <v>5.0180000000000002E-2</v>
      </c>
      <c r="L7" s="66">
        <f>0.05/(0.058*0.375)</f>
        <v>2.2988505747126435</v>
      </c>
      <c r="M7" s="5"/>
      <c r="N7" s="36">
        <f>1/(B2*0.375)</f>
        <v>0.1976943400688882</v>
      </c>
      <c r="O7" s="5"/>
      <c r="P7" s="5"/>
      <c r="Q7" s="6"/>
      <c r="R7" s="5"/>
    </row>
    <row r="8" spans="1:18" ht="15" thickBot="1" x14ac:dyDescent="0.45">
      <c r="A8" s="10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6"/>
      <c r="R8" s="5"/>
    </row>
    <row r="9" spans="1:18" ht="15" thickBot="1" x14ac:dyDescent="0.45">
      <c r="A9" s="10"/>
      <c r="B9" s="5"/>
      <c r="C9" s="5"/>
      <c r="D9" s="36">
        <f>1/(B1*25)</f>
        <v>0.15774175166249818</v>
      </c>
      <c r="E9" s="5"/>
      <c r="F9" s="36">
        <v>2.8809999999999999E-2</v>
      </c>
      <c r="G9" s="66">
        <f>0.05/(0.058*25)</f>
        <v>3.4482758620689655E-2</v>
      </c>
      <c r="H9" s="5"/>
      <c r="I9" s="36">
        <f>1/(B2*25)</f>
        <v>2.9654151010333231E-3</v>
      </c>
      <c r="J9" s="5"/>
      <c r="K9" s="5"/>
      <c r="L9" s="5"/>
      <c r="M9" s="5"/>
      <c r="N9" s="5"/>
      <c r="O9" s="5"/>
      <c r="P9" s="5"/>
      <c r="Q9" s="6"/>
      <c r="R9" s="5"/>
    </row>
    <row r="10" spans="1:18" ht="15" thickBot="1" x14ac:dyDescent="0.45">
      <c r="A10" s="10"/>
      <c r="B10" s="5"/>
      <c r="C10" s="5"/>
      <c r="D10" s="36">
        <f>1/(B1*31)</f>
        <v>0.12721109005040176</v>
      </c>
      <c r="E10" s="5"/>
      <c r="F10" s="36">
        <v>2.9770000000000001E-2</v>
      </c>
      <c r="G10" s="66">
        <f>0.05/(0.058*31)</f>
        <v>2.7808676307007788E-2</v>
      </c>
      <c r="H10" s="5"/>
      <c r="I10" s="36">
        <f>1/(B2*31)</f>
        <v>2.3914637911559059E-3</v>
      </c>
      <c r="J10" s="5"/>
      <c r="K10" s="5"/>
      <c r="L10" s="5"/>
      <c r="M10" s="5"/>
      <c r="N10" s="5"/>
      <c r="O10" s="5"/>
      <c r="P10" s="5"/>
      <c r="Q10" s="6"/>
      <c r="R10" s="5"/>
    </row>
    <row r="11" spans="1:18" ht="15" thickBot="1" x14ac:dyDescent="0.45">
      <c r="A11" s="18">
        <v>294.26</v>
      </c>
      <c r="B11" s="28" t="s">
        <v>12</v>
      </c>
      <c r="C11" s="5"/>
      <c r="D11" s="36">
        <f>1/(B1*22)</f>
        <v>0.17925199052556615</v>
      </c>
      <c r="E11" s="5"/>
      <c r="F11" s="36">
        <v>3.0099999999999998E-2</v>
      </c>
      <c r="G11" s="66">
        <f>0.05/(0.058*22)</f>
        <v>3.918495297805643E-2</v>
      </c>
      <c r="H11" s="5"/>
      <c r="I11" s="36">
        <f>1/(B2*22)</f>
        <v>3.3697898875378672E-3</v>
      </c>
      <c r="J11" s="5"/>
      <c r="K11" s="5">
        <f>B3</f>
        <v>280.92777777777775</v>
      </c>
      <c r="L11" s="44" t="s">
        <v>12</v>
      </c>
      <c r="M11" s="44"/>
      <c r="N11" s="5"/>
      <c r="O11" s="5"/>
      <c r="P11" s="5"/>
      <c r="Q11" s="6"/>
      <c r="R11" s="5"/>
    </row>
    <row r="12" spans="1:18" ht="15" thickBot="1" x14ac:dyDescent="0.45">
      <c r="A12" s="10"/>
      <c r="B12" s="5"/>
      <c r="C12" s="5"/>
      <c r="D12" s="36">
        <f>1/(B1*28)</f>
        <v>0.14084084969865912</v>
      </c>
      <c r="E12" s="5"/>
      <c r="F12" s="36">
        <v>3.0329999999999999E-2</v>
      </c>
      <c r="G12" s="66">
        <f>0.05/(0.058*28)</f>
        <v>3.0788177339901478E-2</v>
      </c>
      <c r="H12" s="5"/>
      <c r="I12" s="36">
        <f>1/(B2*28)</f>
        <v>2.6476920544940383E-3</v>
      </c>
      <c r="J12" s="5"/>
      <c r="K12" s="5"/>
      <c r="L12" s="5"/>
      <c r="M12" s="5"/>
      <c r="N12" s="5"/>
      <c r="O12" s="5"/>
      <c r="P12" s="5"/>
      <c r="Q12" s="6"/>
      <c r="R12" s="5"/>
    </row>
    <row r="13" spans="1:18" ht="15" thickBot="1" x14ac:dyDescent="0.45">
      <c r="A13" s="10"/>
      <c r="B13" s="5"/>
      <c r="C13" s="5"/>
      <c r="D13" s="36">
        <f>1/(B1*18)</f>
        <v>0.21908576619791417</v>
      </c>
      <c r="E13" s="5"/>
      <c r="F13" s="36">
        <v>3.4119999999999998E-2</v>
      </c>
      <c r="G13" s="66">
        <f>0.05/(0.058*18)</f>
        <v>4.7892720306513412E-2</v>
      </c>
      <c r="H13" s="5"/>
      <c r="I13" s="36">
        <f>1/(B2*18)</f>
        <v>4.1186320847685044E-3</v>
      </c>
      <c r="J13" s="5"/>
      <c r="K13" s="5"/>
      <c r="L13" s="5"/>
      <c r="M13" s="5"/>
      <c r="N13" s="5"/>
      <c r="O13" s="5"/>
      <c r="P13" s="5"/>
      <c r="Q13" s="6"/>
      <c r="R13" s="5"/>
    </row>
    <row r="14" spans="1:18" ht="15" thickBot="1" x14ac:dyDescent="0.45">
      <c r="A14" s="10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6"/>
      <c r="R14" s="5"/>
    </row>
    <row r="15" spans="1:18" ht="15" thickBot="1" x14ac:dyDescent="0.45">
      <c r="A15" s="10"/>
      <c r="B15" s="5"/>
      <c r="C15" s="5"/>
      <c r="D15" s="5"/>
      <c r="E15" s="5"/>
      <c r="F15" s="5"/>
      <c r="G15" s="5"/>
      <c r="H15" s="5"/>
      <c r="I15" s="36">
        <f>1/(B1*86)</f>
        <v>4.5855160367005286E-2</v>
      </c>
      <c r="J15" s="5"/>
      <c r="K15" s="36">
        <v>3.5499999999999997E-2</v>
      </c>
      <c r="L15" s="66">
        <f>0.05/(0.058*86)</f>
        <v>1.0024057738572574E-2</v>
      </c>
      <c r="M15" s="69"/>
      <c r="N15" s="5"/>
      <c r="O15" s="5"/>
      <c r="P15" s="5"/>
      <c r="Q15" s="6"/>
      <c r="R15" s="5"/>
    </row>
    <row r="16" spans="1:18" ht="15" thickBot="1" x14ac:dyDescent="0.45">
      <c r="A16" s="10"/>
      <c r="B16" s="5"/>
      <c r="C16" s="5"/>
      <c r="D16" s="36">
        <f>1/(B1*35)</f>
        <v>0.11267267975892728</v>
      </c>
      <c r="E16" s="5"/>
      <c r="F16" s="36">
        <v>1.2841E-2</v>
      </c>
      <c r="G16" s="66">
        <f>0.05/(0.058*35)</f>
        <v>2.463054187192118E-2</v>
      </c>
      <c r="H16" s="5"/>
      <c r="I16" s="5"/>
      <c r="J16" s="5"/>
      <c r="K16" s="5"/>
      <c r="L16" s="5"/>
      <c r="M16" s="5"/>
      <c r="O16" s="5">
        <v>291</v>
      </c>
      <c r="P16" s="44" t="s">
        <v>12</v>
      </c>
      <c r="Q16" s="6"/>
      <c r="R16" s="5"/>
    </row>
    <row r="17" spans="1:18" ht="15" thickBot="1" x14ac:dyDescent="0.45">
      <c r="A17" s="10"/>
      <c r="B17" s="5"/>
      <c r="C17" s="5"/>
      <c r="D17" s="5"/>
      <c r="E17" s="5"/>
      <c r="F17" s="5"/>
      <c r="G17" s="5"/>
      <c r="H17" s="5"/>
      <c r="I17" s="36">
        <f>1/(B1*35)</f>
        <v>0.11267267975892728</v>
      </c>
      <c r="J17" s="5"/>
      <c r="K17" s="36">
        <v>4.1509999999999998E-2</v>
      </c>
      <c r="L17" s="66">
        <f>0.05/(0.058*35)</f>
        <v>2.463054187192118E-2</v>
      </c>
      <c r="M17" s="69"/>
      <c r="N17" s="5"/>
      <c r="O17" s="5"/>
      <c r="P17" s="5"/>
      <c r="Q17" s="6"/>
      <c r="R17" s="5"/>
    </row>
    <row r="18" spans="1:18" ht="15" thickBot="1" x14ac:dyDescent="0.45">
      <c r="A18" s="14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8"/>
      <c r="R18" s="10"/>
    </row>
    <row r="19" spans="1:18" ht="15" thickBot="1" x14ac:dyDescent="0.45">
      <c r="A19" s="10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6"/>
      <c r="R19" s="10"/>
    </row>
    <row r="20" spans="1:18" ht="15" thickBot="1" x14ac:dyDescent="0.45">
      <c r="A20" s="10"/>
      <c r="B20" s="5"/>
      <c r="C20" s="5"/>
      <c r="D20" s="36">
        <f>D6+F6+G6</f>
        <v>0.18447002703856058</v>
      </c>
      <c r="E20" s="5"/>
      <c r="F20" s="36">
        <f>((1/(I5+K5+L5+N5))+(1/(I7+K7+L7+N7)))^-1</f>
        <v>0.1309847570616518</v>
      </c>
      <c r="G20" s="5"/>
      <c r="H20" s="5">
        <f>P6</f>
        <v>280.92777777777775</v>
      </c>
      <c r="I20" s="44" t="s">
        <v>12</v>
      </c>
      <c r="K20" s="5"/>
      <c r="L20" s="5"/>
      <c r="M20" s="5"/>
      <c r="N20" s="5"/>
      <c r="O20" s="5"/>
      <c r="P20" s="5"/>
      <c r="Q20" s="6"/>
      <c r="R20" s="10"/>
    </row>
    <row r="21" spans="1:18" ht="15" thickBot="1" x14ac:dyDescent="0.45">
      <c r="A21" s="10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6"/>
      <c r="R21" s="10"/>
    </row>
    <row r="22" spans="1:18" ht="15" thickBot="1" x14ac:dyDescent="0.45">
      <c r="A22" s="10"/>
      <c r="B22" s="5"/>
      <c r="C22" s="5"/>
      <c r="D22" s="36">
        <f>D9+F9+G9+I9</f>
        <v>0.22399992538422114</v>
      </c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6"/>
      <c r="R22" s="10"/>
    </row>
    <row r="23" spans="1:18" ht="15" thickBot="1" x14ac:dyDescent="0.45">
      <c r="A23" s="10"/>
      <c r="B23" s="5"/>
      <c r="C23" s="5"/>
      <c r="D23" s="36">
        <f t="shared" ref="D23:D26" si="0">D10+F10+G10+I10</f>
        <v>0.18718123014856544</v>
      </c>
      <c r="E23" s="5"/>
      <c r="F23" s="5"/>
      <c r="H23" s="5"/>
      <c r="I23" s="5"/>
      <c r="J23" s="5"/>
      <c r="K23" s="5"/>
      <c r="L23" s="5"/>
      <c r="M23" s="5"/>
      <c r="N23" s="5"/>
      <c r="O23" s="5"/>
      <c r="P23" s="5"/>
      <c r="Q23" s="6"/>
      <c r="R23" s="10"/>
    </row>
    <row r="24" spans="1:18" ht="15" thickBot="1" x14ac:dyDescent="0.45">
      <c r="A24" s="18">
        <f>A11</f>
        <v>294.26</v>
      </c>
      <c r="B24" s="28" t="s">
        <v>12</v>
      </c>
      <c r="C24" s="5"/>
      <c r="D24" s="36">
        <f t="shared" si="0"/>
        <v>0.25190673339116043</v>
      </c>
      <c r="E24" s="5"/>
      <c r="F24" s="5">
        <f>K11</f>
        <v>280.92777777777775</v>
      </c>
      <c r="G24" s="44" t="s">
        <v>12</v>
      </c>
      <c r="I24" s="5"/>
      <c r="J24" s="5"/>
      <c r="K24" s="5"/>
      <c r="L24" s="5"/>
      <c r="M24" s="5"/>
      <c r="N24" s="5"/>
      <c r="O24" s="5"/>
      <c r="P24" s="5"/>
      <c r="Q24" s="6"/>
      <c r="R24" s="10"/>
    </row>
    <row r="25" spans="1:18" ht="15" thickBot="1" x14ac:dyDescent="0.45">
      <c r="A25" s="10"/>
      <c r="B25" s="5"/>
      <c r="C25" s="5"/>
      <c r="D25" s="36">
        <f t="shared" si="0"/>
        <v>0.20460671909305461</v>
      </c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6"/>
      <c r="R25" s="10"/>
    </row>
    <row r="26" spans="1:18" ht="15" thickBot="1" x14ac:dyDescent="0.45">
      <c r="A26" s="10"/>
      <c r="B26" s="5"/>
      <c r="C26" s="5"/>
      <c r="D26" s="36">
        <f t="shared" si="0"/>
        <v>0.30521711858919609</v>
      </c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6"/>
      <c r="R26" s="10"/>
    </row>
    <row r="27" spans="1:18" ht="15" thickBot="1" x14ac:dyDescent="0.45">
      <c r="A27" s="10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6"/>
      <c r="R27" s="10"/>
    </row>
    <row r="28" spans="1:18" ht="15" thickBot="1" x14ac:dyDescent="0.45">
      <c r="A28" s="10"/>
      <c r="B28" s="5"/>
      <c r="C28" s="5"/>
      <c r="D28" s="36">
        <f>D16+F16+G16</f>
        <v>0.15014422163084845</v>
      </c>
      <c r="E28" s="5"/>
      <c r="F28" s="36">
        <f>((1/(I15+K15+L15))+(1/(I17+K17+L17)))^-1</f>
        <v>6.0474720889695792E-2</v>
      </c>
      <c r="G28" s="5"/>
      <c r="H28" s="5">
        <f>O16</f>
        <v>291</v>
      </c>
      <c r="I28" s="44" t="s">
        <v>12</v>
      </c>
      <c r="K28" s="5"/>
      <c r="L28" s="5"/>
      <c r="M28" s="5"/>
      <c r="N28" s="5"/>
      <c r="O28" s="5"/>
      <c r="P28" s="5"/>
      <c r="Q28" s="6"/>
      <c r="R28" s="10"/>
    </row>
    <row r="29" spans="1:18" ht="15" thickBot="1" x14ac:dyDescent="0.45">
      <c r="A29" s="14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8"/>
      <c r="R29" s="10"/>
    </row>
    <row r="30" spans="1:18" ht="15" thickBot="1" x14ac:dyDescent="0.45">
      <c r="A30" s="10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6"/>
      <c r="R30" s="10"/>
    </row>
    <row r="31" spans="1:18" ht="15" thickBot="1" x14ac:dyDescent="0.45">
      <c r="A31" s="10"/>
      <c r="B31" s="5"/>
      <c r="C31" s="5"/>
      <c r="D31" s="36">
        <f>D20+F20</f>
        <v>0.31545478410021238</v>
      </c>
      <c r="E31" s="5"/>
      <c r="F31" s="5">
        <f>H20</f>
        <v>280.92777777777775</v>
      </c>
      <c r="G31" s="44" t="s">
        <v>12</v>
      </c>
      <c r="I31" s="5"/>
      <c r="J31" s="5"/>
      <c r="K31" s="5"/>
      <c r="L31" s="5"/>
      <c r="M31" s="5"/>
      <c r="N31" s="5"/>
      <c r="O31" s="5"/>
      <c r="P31" s="5"/>
      <c r="Q31" s="6"/>
      <c r="R31" s="10"/>
    </row>
    <row r="32" spans="1:18" ht="15" thickBot="1" x14ac:dyDescent="0.45">
      <c r="A32" s="10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6"/>
      <c r="R32" s="10"/>
    </row>
    <row r="33" spans="1:18" ht="15" thickBot="1" x14ac:dyDescent="0.45">
      <c r="A33" s="18">
        <f>A24</f>
        <v>294.26</v>
      </c>
      <c r="B33" s="28" t="s">
        <v>12</v>
      </c>
      <c r="C33" s="5"/>
      <c r="D33" s="36">
        <f>((1/D22)+(1/D23)+(1/D24)+(1/D25)+(1/D26))^-1</f>
        <v>4.5578420089516687E-2</v>
      </c>
      <c r="E33" s="5"/>
      <c r="F33" s="5">
        <f>F24</f>
        <v>280.92777777777775</v>
      </c>
      <c r="G33" s="44" t="s">
        <v>12</v>
      </c>
      <c r="I33" s="5"/>
      <c r="J33" s="5"/>
      <c r="K33" s="5"/>
      <c r="L33" s="5"/>
      <c r="M33" s="5"/>
      <c r="N33" s="5"/>
      <c r="O33" s="5"/>
      <c r="P33" s="5"/>
      <c r="Q33" s="6"/>
      <c r="R33" s="10"/>
    </row>
    <row r="34" spans="1:18" ht="15" thickBot="1" x14ac:dyDescent="0.45">
      <c r="A34" s="10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6"/>
      <c r="R34" s="10"/>
    </row>
    <row r="35" spans="1:18" ht="15" thickBot="1" x14ac:dyDescent="0.45">
      <c r="A35" s="10"/>
      <c r="B35" s="5"/>
      <c r="C35" s="5"/>
      <c r="D35" s="36">
        <f>D28+F28</f>
        <v>0.21061894252054425</v>
      </c>
      <c r="E35" s="5"/>
      <c r="F35" s="5">
        <f>H28</f>
        <v>291</v>
      </c>
      <c r="G35" s="44" t="s">
        <v>12</v>
      </c>
      <c r="I35" s="5"/>
      <c r="J35" s="5"/>
      <c r="K35" s="5"/>
      <c r="L35" s="5"/>
      <c r="M35" s="5"/>
      <c r="N35" s="5"/>
      <c r="O35" s="5"/>
      <c r="P35" s="5"/>
      <c r="Q35" s="6"/>
      <c r="R35" s="10"/>
    </row>
    <row r="36" spans="1:18" x14ac:dyDescent="0.4">
      <c r="A36" s="10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6"/>
      <c r="R36" s="10"/>
    </row>
    <row r="37" spans="1:18" x14ac:dyDescent="0.4">
      <c r="A37" s="10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6"/>
      <c r="R37" s="10"/>
    </row>
    <row r="38" spans="1:18" ht="15" thickBot="1" x14ac:dyDescent="0.45">
      <c r="A38" s="14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8"/>
      <c r="R38" s="10"/>
    </row>
    <row r="39" spans="1:18" ht="15" thickBot="1" x14ac:dyDescent="0.45">
      <c r="A39" s="10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6"/>
      <c r="R39" s="10"/>
    </row>
    <row r="40" spans="1:18" ht="15" thickBot="1" x14ac:dyDescent="0.45">
      <c r="A40" s="18">
        <f>A33</f>
        <v>294.26</v>
      </c>
      <c r="B40" s="28" t="s">
        <v>12</v>
      </c>
      <c r="C40" s="5"/>
      <c r="D40" s="36">
        <f>((1/D31)+(1/D33))^-1</f>
        <v>3.9824399811745362E-2</v>
      </c>
      <c r="E40" s="5"/>
      <c r="F40" s="5">
        <f>F31</f>
        <v>280.92777777777775</v>
      </c>
      <c r="G40" s="44" t="s">
        <v>12</v>
      </c>
      <c r="H40" s="5"/>
      <c r="I40" s="37">
        <f>ABS(A40-F40)/D40</f>
        <v>334.77522034846049</v>
      </c>
      <c r="J40" s="38" t="s">
        <v>37</v>
      </c>
      <c r="L40" s="5"/>
      <c r="M40" s="5"/>
      <c r="N40" s="5"/>
      <c r="O40" s="5"/>
      <c r="P40" s="5"/>
      <c r="Q40" s="6"/>
      <c r="R40" s="10"/>
    </row>
    <row r="41" spans="1:18" ht="15" thickBot="1" x14ac:dyDescent="0.45">
      <c r="A41" s="10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6"/>
      <c r="R41" s="5"/>
    </row>
    <row r="42" spans="1:18" ht="15" thickBot="1" x14ac:dyDescent="0.45">
      <c r="A42" s="18">
        <f>A33</f>
        <v>294.26</v>
      </c>
      <c r="B42" s="28" t="s">
        <v>12</v>
      </c>
      <c r="C42" s="5"/>
      <c r="D42" s="36">
        <f>D35</f>
        <v>0.21061894252054425</v>
      </c>
      <c r="E42" s="5"/>
      <c r="F42" s="5">
        <f>F35</f>
        <v>291</v>
      </c>
      <c r="G42" s="44" t="s">
        <v>12</v>
      </c>
      <c r="H42" s="5"/>
      <c r="I42" s="37">
        <f>ABS(A42-F42)/D42</f>
        <v>15.478189952843406</v>
      </c>
      <c r="J42" s="38" t="s">
        <v>37</v>
      </c>
      <c r="L42" s="5"/>
      <c r="M42" s="5"/>
      <c r="N42" s="5"/>
      <c r="O42" s="5"/>
      <c r="P42" s="5"/>
      <c r="Q42" s="6"/>
      <c r="R42" s="5"/>
    </row>
    <row r="43" spans="1:18" ht="15" thickBot="1" x14ac:dyDescent="0.45">
      <c r="A43" s="14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8"/>
      <c r="R43" s="5"/>
    </row>
  </sheetData>
  <pageMargins left="0.7" right="0.7" top="0.75" bottom="0.75" header="0.3" footer="0.3"/>
  <pageSetup scale="7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Sheet1</vt:lpstr>
      <vt:lpstr>h_OUT</vt:lpstr>
      <vt:lpstr>h_IN</vt:lpstr>
      <vt:lpstr>Iteration</vt:lpstr>
      <vt:lpstr>Main_Model</vt:lpstr>
      <vt:lpstr>Main_Plot</vt:lpstr>
      <vt:lpstr>Required_6 (WRONG)</vt:lpstr>
      <vt:lpstr>Required_6_Plot (WRONG)</vt:lpstr>
      <vt:lpstr>Required_6_Model</vt:lpstr>
      <vt:lpstr>Required_6_Plot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June Kwon</dc:creator>
  <cp:lastModifiedBy>June Kwon</cp:lastModifiedBy>
  <cp:lastPrinted>2020-06-14T02:13:31Z</cp:lastPrinted>
  <dcterms:created xsi:type="dcterms:W3CDTF">2020-06-12T23:47:18Z</dcterms:created>
  <dcterms:modified xsi:type="dcterms:W3CDTF">2021-01-09T10:15:20Z</dcterms:modified>
</cp:coreProperties>
</file>