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mc:AlternateContent xmlns:mc="http://schemas.openxmlformats.org/markup-compatibility/2006">
    <mc:Choice Requires="x15">
      <x15ac:absPath xmlns:x15ac="http://schemas.microsoft.com/office/spreadsheetml/2010/11/ac" url="D:\working\waccache\DM3PEPF00015BDF\EXCELCNV\83610d8b-05c5-4e11-92b8-23ae020ac29d\"/>
    </mc:Choice>
  </mc:AlternateContent>
  <xr:revisionPtr revIDLastSave="0" documentId="8_{70D44A33-1FA1-4E99-92D9-587805B0D342}" xr6:coauthVersionLast="47" xr6:coauthVersionMax="47" xr10:uidLastSave="{00000000-0000-0000-0000-000000000000}"/>
  <bookViews>
    <workbookView xWindow="-60" yWindow="-60" windowWidth="15480" windowHeight="11640" firstSheet="4" activeTab="3" xr2:uid="{00000000-000D-0000-FFFF-FFFF00000000}"/>
  </bookViews>
  <sheets>
    <sheet name="3.2" sheetId="1" r:id="rId1"/>
    <sheet name="3.2 (B)" sheetId="2" r:id="rId2"/>
    <sheet name="3.23" sheetId="3" r:id="rId3"/>
    <sheet name="3.24" sheetId="4" r:id="rId4"/>
    <sheet name="3.25" sheetId="6" r:id="rId5"/>
  </sheets>
  <definedNames>
    <definedName name="H">'3.2 (B)'!$L$2</definedName>
    <definedName name="N">'3.2 (B)'!$L$3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6" l="1"/>
  <c r="F8" i="6"/>
  <c r="F9" i="6"/>
  <c r="F10" i="6"/>
  <c r="F11" i="6"/>
  <c r="F12" i="6"/>
  <c r="F13" i="6"/>
  <c r="F6" i="6"/>
  <c r="H13" i="6"/>
  <c r="J13" i="6" s="1"/>
  <c r="H12" i="6"/>
  <c r="J12" i="6" s="1"/>
  <c r="H11" i="6"/>
  <c r="J11" i="6" s="1"/>
  <c r="H10" i="6"/>
  <c r="J10" i="6" s="1"/>
  <c r="H9" i="6"/>
  <c r="J9" i="6" s="1"/>
  <c r="H8" i="6"/>
  <c r="J8" i="6" s="1"/>
  <c r="H7" i="6"/>
  <c r="J7" i="6" s="1"/>
  <c r="H6" i="6"/>
  <c r="J6" i="6" s="1"/>
  <c r="H10" i="4"/>
  <c r="F10" i="4"/>
  <c r="F7" i="4"/>
  <c r="H7" i="4" s="1"/>
  <c r="F8" i="4"/>
  <c r="H8" i="4" s="1"/>
  <c r="F9" i="4"/>
  <c r="H9" i="4" s="1"/>
  <c r="F11" i="4"/>
  <c r="H11" i="4" s="1"/>
  <c r="F12" i="4"/>
  <c r="H12" i="4" s="1"/>
  <c r="F13" i="4"/>
  <c r="H13" i="4" s="1"/>
  <c r="F6" i="4"/>
  <c r="H6" i="4" s="1"/>
  <c r="D14" i="2"/>
  <c r="XFD1048575" i="2" a="1"/>
  <c r="XFD1048575" i="2"/>
  <c r="XFD1048574" i="2" a="1"/>
  <c r="XFD1048574" i="2"/>
  <c r="XFD1048573" i="2" a="1"/>
  <c r="XFD1048573" i="2"/>
  <c r="XFD1048572" i="2" a="1"/>
  <c r="XFD1048572" i="2"/>
  <c r="XFD1048571" i="2" a="1"/>
  <c r="XFD1048571" i="2"/>
  <c r="XFD1048570" i="2" a="1"/>
  <c r="XFD1048570" i="2"/>
  <c r="XFD1048569" i="2" a="1"/>
  <c r="XFD1048569" i="2"/>
  <c r="XFD1048568" i="2" a="1"/>
  <c r="XFD1048568" i="2"/>
  <c r="XFD1048567" i="2" a="1"/>
  <c r="XFD1048567" i="2"/>
  <c r="XFD1048566" i="2" a="1"/>
  <c r="XFD1048566" i="2"/>
  <c r="XFD1048565" i="2" a="1"/>
  <c r="XFD1048565" i="2"/>
  <c r="XFD1048564" i="2" a="1"/>
  <c r="XFD1048564" i="2"/>
  <c r="XFD1048563" i="2" a="1"/>
  <c r="XFD1048563" i="2"/>
  <c r="XFD1048562" i="2" a="1"/>
  <c r="XFD1048562" i="2"/>
  <c r="XFD1048561" i="2" a="1"/>
  <c r="XFD1048561" i="2"/>
  <c r="XFD1048560" i="2" a="1"/>
  <c r="XFD1048560" i="2"/>
  <c r="XFD1048559" i="2" a="1"/>
  <c r="XFD1048559" i="2"/>
  <c r="XFD1048558" i="2" a="1"/>
  <c r="XFD1048558" i="2"/>
  <c r="XFD1048557" i="2" a="1"/>
  <c r="XFD1048557" i="2"/>
  <c r="XFD1048556" i="2" a="1"/>
  <c r="XFD1048556" i="2"/>
  <c r="XFD1048555" i="2" a="1"/>
  <c r="XFD1048555" i="2"/>
  <c r="XFD1048554" i="2" a="1"/>
  <c r="XFD1048554" i="2"/>
  <c r="XFD1048553" i="2" a="1"/>
  <c r="XFD1048553" i="2"/>
  <c r="XFD1048552" i="2" a="1"/>
  <c r="XFD1048552" i="2"/>
  <c r="XFD1048551" i="2" a="1"/>
  <c r="XFD1048551" i="2"/>
  <c r="XFD1048550" i="2" a="1"/>
  <c r="XFD1048550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G3" i="2"/>
  <c r="J3" i="2" s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F3" i="2"/>
  <c r="N3" i="2" s="1"/>
  <c r="E14" i="2"/>
  <c r="E15" i="2"/>
  <c r="E16" i="2"/>
  <c r="E17" i="2"/>
  <c r="E18" i="2"/>
  <c r="E13" i="2"/>
  <c r="D15" i="2"/>
  <c r="D16" i="2"/>
  <c r="D17" i="2"/>
  <c r="D18" i="2"/>
  <c r="D13" i="2"/>
  <c r="E10" i="2"/>
  <c r="E4" i="2"/>
  <c r="E5" i="2"/>
  <c r="E6" i="2"/>
  <c r="E7" i="2"/>
  <c r="E8" i="2"/>
  <c r="E9" i="2"/>
  <c r="E11" i="2"/>
  <c r="E12" i="2"/>
  <c r="E3" i="2"/>
  <c r="D10" i="2"/>
  <c r="D11" i="2"/>
  <c r="D12" i="2"/>
  <c r="D4" i="2"/>
  <c r="D5" i="2"/>
  <c r="D6" i="2"/>
  <c r="D7" i="2"/>
  <c r="D8" i="2"/>
  <c r="D9" i="2"/>
  <c r="D3" i="2"/>
  <c r="L5" i="1"/>
  <c r="L4" i="1"/>
  <c r="E4" i="1"/>
  <c r="E5" i="1"/>
  <c r="E6" i="1"/>
  <c r="E3" i="1"/>
  <c r="D4" i="1"/>
  <c r="D5" i="1"/>
  <c r="D6" i="1"/>
  <c r="D3" i="1"/>
  <c r="F18" i="2" l="1"/>
  <c r="N18" i="2" s="1"/>
  <c r="J18" i="2"/>
  <c r="F17" i="2"/>
  <c r="N17" i="2" s="1"/>
  <c r="J17" i="2"/>
  <c r="F16" i="2"/>
  <c r="N16" i="2" s="1"/>
  <c r="J16" i="2"/>
  <c r="F15" i="2"/>
  <c r="N15" i="2" s="1"/>
  <c r="J15" i="2"/>
  <c r="F13" i="2"/>
  <c r="N13" i="2" s="1"/>
  <c r="J13" i="2"/>
  <c r="F12" i="2"/>
  <c r="N12" i="2" s="1"/>
  <c r="J12" i="2"/>
  <c r="F11" i="2"/>
  <c r="N11" i="2" s="1"/>
  <c r="J11" i="2"/>
  <c r="F10" i="2"/>
  <c r="N10" i="2" s="1"/>
  <c r="J10" i="2"/>
  <c r="F9" i="2"/>
  <c r="N9" i="2" s="1"/>
  <c r="J9" i="2"/>
  <c r="F8" i="2"/>
  <c r="N8" i="2" s="1"/>
  <c r="J8" i="2"/>
  <c r="F7" i="2"/>
  <c r="N7" i="2" s="1"/>
  <c r="J7" i="2"/>
  <c r="F6" i="2"/>
  <c r="N6" i="2" s="1"/>
  <c r="J6" i="2"/>
  <c r="F5" i="2"/>
  <c r="N5" i="2" s="1"/>
  <c r="J5" i="2"/>
  <c r="F4" i="2"/>
  <c r="N4" i="2" s="1"/>
  <c r="J4" i="2"/>
  <c r="F14" i="2"/>
  <c r="N14" i="2" s="1"/>
  <c r="J14" i="2"/>
  <c r="J1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<sst xmlns="http://schemas.openxmlformats.org/spreadsheetml/2006/main" count="102" uniqueCount="59">
  <si>
    <t>Engineering</t>
  </si>
  <si>
    <t xml:space="preserve">Offset </t>
  </si>
  <si>
    <t>Stress , MPa</t>
  </si>
  <si>
    <t>Strain</t>
  </si>
  <si>
    <t>Diameter d, mm</t>
  </si>
  <si>
    <t>Stress</t>
  </si>
  <si>
    <t>E</t>
  </si>
  <si>
    <t>Mpa</t>
  </si>
  <si>
    <t>Ultimate tensile strength</t>
  </si>
  <si>
    <t>Percent Reduction in Area</t>
  </si>
  <si>
    <t>%</t>
  </si>
  <si>
    <t>Corrected</t>
  </si>
  <si>
    <t>D, mm</t>
  </si>
  <si>
    <t>Ep</t>
  </si>
  <si>
    <t>Sq. of diff</t>
  </si>
  <si>
    <t>H</t>
  </si>
  <si>
    <t>True Plastic Strain</t>
  </si>
  <si>
    <t>N</t>
  </si>
  <si>
    <t>(a) Test Data</t>
  </si>
  <si>
    <t>(b) Calculated Values</t>
  </si>
  <si>
    <t>Force</t>
  </si>
  <si>
    <t>Engr. Strain</t>
  </si>
  <si>
    <t>Diam.</t>
  </si>
  <si>
    <t>Engr. Stress</t>
  </si>
  <si>
    <t>True Strain</t>
  </si>
  <si>
    <t>Raw True Stress</t>
  </si>
  <si>
    <t>Corrected True Stress</t>
  </si>
  <si>
    <t>P, kN</t>
  </si>
  <si>
    <t>d, mm</t>
  </si>
  <si>
    <t>MPa</t>
  </si>
  <si>
    <t>0.1 157</t>
  </si>
  <si>
    <t>(a) Materials Data</t>
  </si>
  <si>
    <t>Cm p</t>
  </si>
  <si>
    <t>Modulus</t>
  </si>
  <si>
    <t>Strength</t>
  </si>
  <si>
    <t>Density</t>
  </si>
  <si>
    <t>Relative</t>
  </si>
  <si>
    <t>Mass Minimizing function</t>
  </si>
  <si>
    <t>Mass</t>
  </si>
  <si>
    <t>Cost Minimizing Function</t>
  </si>
  <si>
    <t>Cost</t>
  </si>
  <si>
    <t>Material</t>
  </si>
  <si>
    <t>E. GPa</t>
  </si>
  <si>
    <t>p, g/cm3</t>
  </si>
  <si>
    <t>Cost, Cm</t>
  </si>
  <si>
    <t>Rank</t>
  </si>
  <si>
    <t>Mild steel                                (AISI 1020)</t>
  </si>
  <si>
    <t>3rd Option</t>
  </si>
  <si>
    <t>Low-alloy steel                      (AISI 4340)</t>
  </si>
  <si>
    <t>Aluminum alloy                (7075-T6)</t>
  </si>
  <si>
    <t>2nd Best</t>
  </si>
  <si>
    <t>Titanium alloy             (Ti_6A1_4V)</t>
  </si>
  <si>
    <t>Engineering PolymerPolycarbonate (PC)</t>
  </si>
  <si>
    <t>wood                                    (Loblolly pine)</t>
  </si>
  <si>
    <t>Best Material for given Difflection limit</t>
  </si>
  <si>
    <t>Composite                        (Glass cloth in epoxy)</t>
  </si>
  <si>
    <t>Composite laminate (Graphite fibers in epoxy)</t>
  </si>
  <si>
    <t>Mass minimizing function by strength</t>
  </si>
  <si>
    <t>Mass Minimizing function by deflection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</si>
</sst>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"/>
  </numFmts>
  <fonts count="2">
    <font>
      <sz val="11"/>
      <color theme="1"/>
      <name val="Aptos Narrow"/>
      <family val="2"/>
      <scheme val="minor"/>
    </font>
    <font>
      <b/>
      <sz val="14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Ultimate Strength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'3.2'!$B$3:$B$13</c:f>
              <c:numCache>
                <c:formatCode>General</c:formatCode>
                <c:ptCount val="11"/>
                <c:pt idx="0">
                  <c:v>0</c:v>
                </c:pt>
                <c:pt idx="1">
                  <c:v>5.9999999999999995E-4</c:v>
                </c:pt>
                <c:pt idx="2">
                  <c:v>1.1999999999999999E-3</c:v>
                </c:pt>
                <c:pt idx="3">
                  <c:v>1.6999999999999999E-3</c:v>
                </c:pt>
                <c:pt idx="4">
                  <c:v>3.5000000000000001E-3</c:v>
                </c:pt>
                <c:pt idx="5">
                  <c:v>7.0000000000000001E-3</c:v>
                </c:pt>
                <c:pt idx="6">
                  <c:v>0.01</c:v>
                </c:pt>
                <c:pt idx="7">
                  <c:v>1.7000000000000001E-2</c:v>
                </c:pt>
                <c:pt idx="8">
                  <c:v>0.03</c:v>
                </c:pt>
                <c:pt idx="9">
                  <c:v>0.05</c:v>
                </c:pt>
                <c:pt idx="10">
                  <c:v>7.9000000000000001E-2</c:v>
                </c:pt>
              </c:numCache>
            </c:numRef>
          </c:xVal>
          <c:yVal>
            <c:numRef>
              <c:f>'3.2'!$A$3:$A$13</c:f>
              <c:numCache>
                <c:formatCode>General</c:formatCode>
                <c:ptCount val="11"/>
                <c:pt idx="0">
                  <c:v>0</c:v>
                </c:pt>
                <c:pt idx="1">
                  <c:v>125</c:v>
                </c:pt>
                <c:pt idx="2">
                  <c:v>257</c:v>
                </c:pt>
                <c:pt idx="3">
                  <c:v>359</c:v>
                </c:pt>
                <c:pt idx="4">
                  <c:v>317</c:v>
                </c:pt>
                <c:pt idx="5">
                  <c:v>333</c:v>
                </c:pt>
                <c:pt idx="6">
                  <c:v>357</c:v>
                </c:pt>
                <c:pt idx="7">
                  <c:v>397</c:v>
                </c:pt>
                <c:pt idx="8">
                  <c:v>458</c:v>
                </c:pt>
                <c:pt idx="9">
                  <c:v>507</c:v>
                </c:pt>
                <c:pt idx="10">
                  <c:v>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D2-4891-B091-A5E12205A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356487"/>
        <c:axId val="1174358535"/>
      </c:scatterChart>
      <c:valAx>
        <c:axId val="1174356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58535"/>
        <c:crosses val="autoZero"/>
        <c:crossBetween val="midCat"/>
      </c:valAx>
      <c:valAx>
        <c:axId val="1174358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356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'3.2 (B)'!$B$2</c:f>
              <c:strCache>
                <c:ptCount val="1"/>
                <c:pt idx="0">
                  <c:v>Strain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'3.2 (B)'!B3:B13</c:f>
              <c:numCache>
                <c:formatCode>General</c:formatCode>
                <c:ptCount val="11"/>
                <c:pt idx="0">
                  <c:v>0</c:v>
                </c:pt>
                <c:pt idx="1">
                  <c:v>5.9999999999999995E-4</c:v>
                </c:pt>
                <c:pt idx="2">
                  <c:v>1.1999999999999999E-3</c:v>
                </c:pt>
                <c:pt idx="3">
                  <c:v>1.6999999999999999E-3</c:v>
                </c:pt>
                <c:pt idx="4">
                  <c:v>3.5000000000000001E-3</c:v>
                </c:pt>
                <c:pt idx="5">
                  <c:v>7.0000000000000001E-3</c:v>
                </c:pt>
                <c:pt idx="6">
                  <c:v>0.01</c:v>
                </c:pt>
                <c:pt idx="7">
                  <c:v>1.7000000000000001E-2</c:v>
                </c:pt>
                <c:pt idx="8">
                  <c:v>0.03</c:v>
                </c:pt>
                <c:pt idx="9">
                  <c:v>0.05</c:v>
                </c:pt>
                <c:pt idx="10">
                  <c:v>7.9000000000000001E-2</c:v>
                </c:pt>
              </c:numCache>
            </c:numRef>
          </c:xVal>
          <c:yVal>
            <c:numRef>
              <c:f>'3.2 (B)'!A3:A13</c:f>
              <c:numCache>
                <c:formatCode>General</c:formatCode>
                <c:ptCount val="11"/>
                <c:pt idx="0">
                  <c:v>0</c:v>
                </c:pt>
                <c:pt idx="1">
                  <c:v>125</c:v>
                </c:pt>
                <c:pt idx="2">
                  <c:v>257</c:v>
                </c:pt>
                <c:pt idx="3">
                  <c:v>359</c:v>
                </c:pt>
                <c:pt idx="4">
                  <c:v>317</c:v>
                </c:pt>
                <c:pt idx="5">
                  <c:v>333</c:v>
                </c:pt>
                <c:pt idx="6">
                  <c:v>357</c:v>
                </c:pt>
                <c:pt idx="7">
                  <c:v>397</c:v>
                </c:pt>
                <c:pt idx="8">
                  <c:v>458</c:v>
                </c:pt>
                <c:pt idx="9">
                  <c:v>507</c:v>
                </c:pt>
                <c:pt idx="10">
                  <c:v>541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10-4FA0-8E8C-5D5221643FF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'3.2 (B)'!D3:D13</c:f>
              <c:numCache>
                <c:formatCode>General</c:formatCode>
                <c:ptCount val="11"/>
                <c:pt idx="0">
                  <c:v>0</c:v>
                </c:pt>
                <c:pt idx="1">
                  <c:v>5.9982007196754947E-4</c:v>
                </c:pt>
                <c:pt idx="2">
                  <c:v>1.1992805754821869E-3</c:v>
                </c:pt>
                <c:pt idx="3">
                  <c:v>1.6985566355815121E-3</c:v>
                </c:pt>
                <c:pt idx="4">
                  <c:v>3.4938892542558382E-3</c:v>
                </c:pt>
                <c:pt idx="5">
                  <c:v>6.9756137364251382E-3</c:v>
                </c:pt>
                <c:pt idx="6">
                  <c:v>9.950330853168092E-3</c:v>
                </c:pt>
                <c:pt idx="7">
                  <c:v>1.6857117066422806E-2</c:v>
                </c:pt>
                <c:pt idx="8">
                  <c:v>2.9558802241544429E-2</c:v>
                </c:pt>
                <c:pt idx="9">
                  <c:v>4.8790164169432049E-2</c:v>
                </c:pt>
                <c:pt idx="10">
                  <c:v>0.10725559206281615</c:v>
                </c:pt>
              </c:numCache>
            </c:numRef>
          </c:xVal>
          <c:yVal>
            <c:numRef>
              <c:f>'3.2 (B)'!E3:E13</c:f>
              <c:numCache>
                <c:formatCode>General</c:formatCode>
                <c:ptCount val="11"/>
                <c:pt idx="0">
                  <c:v>0</c:v>
                </c:pt>
                <c:pt idx="1">
                  <c:v>125.07499999999999</c:v>
                </c:pt>
                <c:pt idx="2">
                  <c:v>257.30840000000001</c:v>
                </c:pt>
                <c:pt idx="3">
                  <c:v>359.6103</c:v>
                </c:pt>
                <c:pt idx="4">
                  <c:v>318.10950000000003</c:v>
                </c:pt>
                <c:pt idx="5">
                  <c:v>335.33099999999996</c:v>
                </c:pt>
                <c:pt idx="6">
                  <c:v>360.57</c:v>
                </c:pt>
                <c:pt idx="7">
                  <c:v>403.74899999999997</c:v>
                </c:pt>
                <c:pt idx="8">
                  <c:v>471.74</c:v>
                </c:pt>
                <c:pt idx="9">
                  <c:v>532.35</c:v>
                </c:pt>
                <c:pt idx="10">
                  <c:v>602.25134266626912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810-4FA0-8E8C-5D5221643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24103"/>
        <c:axId val="1581130247"/>
      </c:scatterChart>
      <c:valAx>
        <c:axId val="1581124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130247"/>
        <c:crosses val="autoZero"/>
        <c:crossBetween val="midCat"/>
      </c:valAx>
      <c:valAx>
        <c:axId val="1581130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124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Engineering Vs True Stress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True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'3.2 (B)'!$D$3:$D$18</c:f>
              <c:numCache>
                <c:formatCode>General</c:formatCode>
                <c:ptCount val="16"/>
                <c:pt idx="0">
                  <c:v>0</c:v>
                </c:pt>
                <c:pt idx="1">
                  <c:v>5.9982007196754947E-4</c:v>
                </c:pt>
                <c:pt idx="2">
                  <c:v>1.1992805754821869E-3</c:v>
                </c:pt>
                <c:pt idx="3">
                  <c:v>1.6985566355815121E-3</c:v>
                </c:pt>
                <c:pt idx="4">
                  <c:v>3.4938892542558382E-3</c:v>
                </c:pt>
                <c:pt idx="5">
                  <c:v>6.9756137364251382E-3</c:v>
                </c:pt>
                <c:pt idx="6">
                  <c:v>9.950330853168092E-3</c:v>
                </c:pt>
                <c:pt idx="7">
                  <c:v>1.6857117066422806E-2</c:v>
                </c:pt>
                <c:pt idx="8">
                  <c:v>2.9558802241544429E-2</c:v>
                </c:pt>
                <c:pt idx="9">
                  <c:v>4.8790164169432049E-2</c:v>
                </c:pt>
                <c:pt idx="10">
                  <c:v>0.10725559206281615</c:v>
                </c:pt>
                <c:pt idx="11">
                  <c:v>0.19950080553411925</c:v>
                </c:pt>
                <c:pt idx="12">
                  <c:v>0.340735939962026</c:v>
                </c:pt>
                <c:pt idx="13">
                  <c:v>0.43681589313675107</c:v>
                </c:pt>
                <c:pt idx="14">
                  <c:v>0.70163022396123453</c:v>
                </c:pt>
                <c:pt idx="15">
                  <c:v>1.1819124793267963</c:v>
                </c:pt>
              </c:numCache>
            </c:numRef>
          </c:xVal>
          <c:yVal>
            <c:numRef>
              <c:f>'3.2 (B)'!$E$3:$E$18</c:f>
              <c:numCache>
                <c:formatCode>General</c:formatCode>
                <c:ptCount val="16"/>
                <c:pt idx="0">
                  <c:v>0</c:v>
                </c:pt>
                <c:pt idx="1">
                  <c:v>125.07499999999999</c:v>
                </c:pt>
                <c:pt idx="2">
                  <c:v>257.30840000000001</c:v>
                </c:pt>
                <c:pt idx="3">
                  <c:v>359.6103</c:v>
                </c:pt>
                <c:pt idx="4">
                  <c:v>318.10950000000003</c:v>
                </c:pt>
                <c:pt idx="5">
                  <c:v>335.33099999999996</c:v>
                </c:pt>
                <c:pt idx="6">
                  <c:v>360.57</c:v>
                </c:pt>
                <c:pt idx="7">
                  <c:v>403.74899999999997</c:v>
                </c:pt>
                <c:pt idx="8">
                  <c:v>471.74</c:v>
                </c:pt>
                <c:pt idx="9">
                  <c:v>532.35</c:v>
                </c:pt>
                <c:pt idx="10">
                  <c:v>602.25134266626912</c:v>
                </c:pt>
                <c:pt idx="11">
                  <c:v>703.17687906499111</c:v>
                </c:pt>
                <c:pt idx="12">
                  <c:v>784.53791593479525</c:v>
                </c:pt>
                <c:pt idx="13">
                  <c:v>821.86645173290344</c:v>
                </c:pt>
                <c:pt idx="14">
                  <c:v>960.11020830703217</c:v>
                </c:pt>
                <c:pt idx="15">
                  <c:v>1235.7689469387756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2E-4FAA-A99D-E56612156D7D}"/>
            </c:ext>
          </c:extLst>
        </c:ser>
        <c:ser>
          <c:idx val="1"/>
          <c:order val="1"/>
          <c:tx>
            <c:v>Engineering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'3.2 (B)'!B3:B13</c:f>
              <c:numCache>
                <c:formatCode>General</c:formatCode>
                <c:ptCount val="11"/>
                <c:pt idx="0">
                  <c:v>0</c:v>
                </c:pt>
                <c:pt idx="1">
                  <c:v>5.9999999999999995E-4</c:v>
                </c:pt>
                <c:pt idx="2">
                  <c:v>1.1999999999999999E-3</c:v>
                </c:pt>
                <c:pt idx="3">
                  <c:v>1.6999999999999999E-3</c:v>
                </c:pt>
                <c:pt idx="4">
                  <c:v>3.5000000000000001E-3</c:v>
                </c:pt>
                <c:pt idx="5">
                  <c:v>7.0000000000000001E-3</c:v>
                </c:pt>
                <c:pt idx="6">
                  <c:v>0.01</c:v>
                </c:pt>
                <c:pt idx="7">
                  <c:v>1.7000000000000001E-2</c:v>
                </c:pt>
                <c:pt idx="8">
                  <c:v>0.03</c:v>
                </c:pt>
                <c:pt idx="9">
                  <c:v>0.05</c:v>
                </c:pt>
                <c:pt idx="10">
                  <c:v>7.9000000000000001E-2</c:v>
                </c:pt>
              </c:numCache>
            </c:numRef>
          </c:xVal>
          <c:yVal>
            <c:numRef>
              <c:f>'3.2 (B)'!A3:A13</c:f>
              <c:numCache>
                <c:formatCode>General</c:formatCode>
                <c:ptCount val="11"/>
                <c:pt idx="0">
                  <c:v>0</c:v>
                </c:pt>
                <c:pt idx="1">
                  <c:v>125</c:v>
                </c:pt>
                <c:pt idx="2">
                  <c:v>257</c:v>
                </c:pt>
                <c:pt idx="3">
                  <c:v>359</c:v>
                </c:pt>
                <c:pt idx="4">
                  <c:v>317</c:v>
                </c:pt>
                <c:pt idx="5">
                  <c:v>333</c:v>
                </c:pt>
                <c:pt idx="6">
                  <c:v>357</c:v>
                </c:pt>
                <c:pt idx="7">
                  <c:v>397</c:v>
                </c:pt>
                <c:pt idx="8">
                  <c:v>458</c:v>
                </c:pt>
                <c:pt idx="9">
                  <c:v>507</c:v>
                </c:pt>
                <c:pt idx="10">
                  <c:v>541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82E-4FAA-A99D-E56612156D7D}"/>
            </c:ext>
          </c:extLst>
        </c:ser>
        <c:ser>
          <c:idx val="2"/>
          <c:order val="2"/>
          <c:tx>
            <c:v>Corrected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solidFill>
                <a:srgbClr val="BD5015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'3.2 (B)'!F3:F18</c:f>
              <c:numCache>
                <c:formatCode>General</c:formatCode>
                <c:ptCount val="16"/>
                <c:pt idx="0">
                  <c:v>0</c:v>
                </c:pt>
                <c:pt idx="1">
                  <c:v>6.5656732794846782E-8</c:v>
                </c:pt>
                <c:pt idx="2">
                  <c:v>-8.5048671086611151E-8</c:v>
                </c:pt>
                <c:pt idx="3">
                  <c:v>2.366014916198121E-8</c:v>
                </c:pt>
                <c:pt idx="4">
                  <c:v>1.2657120448116046E-5</c:v>
                </c:pt>
                <c:pt idx="5">
                  <c:v>3.4235467869759828E-5</c:v>
                </c:pt>
                <c:pt idx="6">
                  <c:v>5.2356843230945787E-5</c:v>
                </c:pt>
                <c:pt idx="7">
                  <c:v>9.4893423181820275E-5</c:v>
                </c:pt>
                <c:pt idx="8">
                  <c:v>1.7347345666511162E-4</c:v>
                </c:pt>
                <c:pt idx="9">
                  <c:v>2.9389101809974399E-4</c:v>
                </c:pt>
                <c:pt idx="10">
                  <c:v>6.7499460887044944E-4</c:v>
                </c:pt>
                <c:pt idx="11">
                  <c:v>1.5355435536674249E-3</c:v>
                </c:pt>
                <c:pt idx="12">
                  <c:v>6.4877643739664134E-3</c:v>
                </c:pt>
                <c:pt idx="13">
                  <c:v>1.7958009242616455E-2</c:v>
                </c:pt>
                <c:pt idx="14">
                  <c:v>0.16904699369720755</c:v>
                </c:pt>
                <c:pt idx="15">
                  <c:v>2.2575521527797888</c:v>
                </c:pt>
              </c:numCache>
            </c:numRef>
          </c:xVal>
          <c:yVal>
            <c:numRef>
              <c:f>'3.2 (B)'!G3:G18</c:f>
              <c:numCache>
                <c:formatCode>0.0000000</c:formatCode>
                <c:ptCount val="16"/>
                <c:pt idx="0" formatCode="General">
                  <c:v>0</c:v>
                </c:pt>
                <c:pt idx="1">
                  <c:v>1.3931111221143384E-2</c:v>
                </c:pt>
                <c:pt idx="2">
                  <c:v>-1.804571207982824E-2</c:v>
                </c:pt>
                <c:pt idx="3">
                  <c:v>5.0202341093383354E-3</c:v>
                </c:pt>
                <c:pt idx="4">
                  <c:v>2.6856004671022013</c:v>
                </c:pt>
                <c:pt idx="5">
                  <c:v>7.2641148381232057</c:v>
                </c:pt>
                <c:pt idx="6">
                  <c:v>11.10911923960184</c:v>
                </c:pt>
                <c:pt idx="7">
                  <c:v>20.134422740597948</c:v>
                </c:pt>
                <c:pt idx="8">
                  <c:v>36.804533018844523</c:v>
                </c:pt>
                <c:pt idx="9">
                  <c:v>62.313036402605178</c:v>
                </c:pt>
                <c:pt idx="10">
                  <c:v>140.58732774813268</c:v>
                </c:pt>
                <c:pt idx="11">
                  <c:v>264.14585757544529</c:v>
                </c:pt>
                <c:pt idx="12">
                  <c:v>453.78856401435314</c:v>
                </c:pt>
                <c:pt idx="13">
                  <c:v>582.91374378353862</c:v>
                </c:pt>
                <c:pt idx="14">
                  <c:v>938.58252948795848</c:v>
                </c:pt>
                <c:pt idx="15">
                  <c:v>1583.4853584868604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CF-49A5-8B1D-C4C450C2C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752903"/>
        <c:axId val="1452754951"/>
      </c:scatterChart>
      <c:valAx>
        <c:axId val="145275290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754951"/>
        <c:crosses val="autoZero"/>
        <c:crossBetween val="midCat"/>
      </c:valAx>
      <c:valAx>
        <c:axId val="145275495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752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True Vs Corrected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{"Corrected"}</c:f>
              <c:strCache>
                <c:ptCount val="1"/>
                <c:pt idx="0">
                  <c:v>Corrected</c:v>
                </c:pt>
              </c:strCache>
            </c:strRef>
          </c:tx>
          <c:spPr>
            <a:ln w="19050" cap="flat" cmpd="sng" algn="ctr">
              <a:solidFill>
                <a:srgbClr val="186C24"/>
              </a:solidFill>
              <a:prstDash val="sysDot"/>
              <a:round/>
              <a:headEnd type="none" w="med" len="med"/>
              <a:tailEnd type="none" w="med" len="med"/>
            </a:ln>
            <a:effectLst/>
          </c:spPr>
          <c:marker>
            <c:symbol val="square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'3.2 (B)'!F13:F18</c:f>
              <c:numCache>
                <c:formatCode>General</c:formatCode>
                <c:ptCount val="6"/>
                <c:pt idx="0">
                  <c:v>6.7499460887044944E-4</c:v>
                </c:pt>
                <c:pt idx="1">
                  <c:v>1.5355435536674249E-3</c:v>
                </c:pt>
                <c:pt idx="2">
                  <c:v>6.4877643739664134E-3</c:v>
                </c:pt>
                <c:pt idx="3">
                  <c:v>1.7958009242616455E-2</c:v>
                </c:pt>
                <c:pt idx="4">
                  <c:v>0.16904699369720755</c:v>
                </c:pt>
                <c:pt idx="5">
                  <c:v>2.2575521527797888</c:v>
                </c:pt>
              </c:numCache>
            </c:numRef>
          </c:xVal>
          <c:yVal>
            <c:numRef>
              <c:f>'3.2 (B)'!$G$13:$G$18</c:f>
              <c:numCache>
                <c:formatCode>0.0000000</c:formatCode>
                <c:ptCount val="6"/>
                <c:pt idx="0">
                  <c:v>140.58732774813268</c:v>
                </c:pt>
                <c:pt idx="1">
                  <c:v>264.14585757544529</c:v>
                </c:pt>
                <c:pt idx="2">
                  <c:v>453.78856401435314</c:v>
                </c:pt>
                <c:pt idx="3">
                  <c:v>582.91374378353862</c:v>
                </c:pt>
                <c:pt idx="4">
                  <c:v>938.58252948795848</c:v>
                </c:pt>
                <c:pt idx="5">
                  <c:v>1583.4853584868604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1D2-4F6D-9D1D-337808AB2071}"/>
            </c:ext>
          </c:extLst>
        </c:ser>
        <c:ser>
          <c:idx val="0"/>
          <c:order val="1"/>
          <c:tx>
            <c:strRef>
              <c:f>{"True"}</c:f>
              <c:strCache>
                <c:ptCount val="1"/>
                <c:pt idx="0">
                  <c:v>True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'3.2 (B)'!$D$13:$D$18</c:f>
              <c:numCache>
                <c:formatCode>General</c:formatCode>
                <c:ptCount val="6"/>
                <c:pt idx="0">
                  <c:v>0.10725559206281615</c:v>
                </c:pt>
                <c:pt idx="1">
                  <c:v>0.19950080553411925</c:v>
                </c:pt>
                <c:pt idx="2">
                  <c:v>0.340735939962026</c:v>
                </c:pt>
                <c:pt idx="3">
                  <c:v>0.43681589313675107</c:v>
                </c:pt>
                <c:pt idx="4">
                  <c:v>0.70163022396123453</c:v>
                </c:pt>
                <c:pt idx="5">
                  <c:v>1.1819124793267963</c:v>
                </c:pt>
              </c:numCache>
            </c:numRef>
          </c:xVal>
          <c:yVal>
            <c:numRef>
              <c:f>'3.2 (B)'!$E$13:$E$18</c:f>
              <c:numCache>
                <c:formatCode>General</c:formatCode>
                <c:ptCount val="6"/>
                <c:pt idx="0">
                  <c:v>602.25134266626912</c:v>
                </c:pt>
                <c:pt idx="1">
                  <c:v>703.17687906499111</c:v>
                </c:pt>
                <c:pt idx="2">
                  <c:v>784.53791593479525</c:v>
                </c:pt>
                <c:pt idx="3">
                  <c:v>821.86645173290344</c:v>
                </c:pt>
                <c:pt idx="4">
                  <c:v>960.11020830703217</c:v>
                </c:pt>
                <c:pt idx="5">
                  <c:v>1235.7689469387756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D2-4F6D-9D1D-337808AB2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12200"/>
        <c:axId val="1915883527"/>
      </c:scatterChart>
      <c:valAx>
        <c:axId val="9111122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883527"/>
        <c:crosses val="autoZero"/>
        <c:crossBetween val="midCat"/>
      </c:valAx>
      <c:valAx>
        <c:axId val="1915883527"/>
        <c:scaling>
          <c:logBase val="10"/>
          <c:orientation val="minMax"/>
          <c:max val="10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12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Corrected Vs Raw Stress in Log Scale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{"Corrected"}</c:f>
              <c:strCache>
                <c:ptCount val="1"/>
                <c:pt idx="0">
                  <c:v>Corrected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'3.2 (B)'!N3:N18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3.1574501585356074E-14</c:v>
                </c:pt>
                <c:pt idx="5">
                  <c:v>4.5713343998837405E-12</c:v>
                </c:pt>
                <c:pt idx="6">
                  <c:v>3.8240857888323463E-11</c:v>
                </c:pt>
                <c:pt idx="7">
                  <c:v>7.4786877175315753E-10</c:v>
                </c:pt>
                <c:pt idx="8">
                  <c:v>1.5262864325865915E-8</c:v>
                </c:pt>
                <c:pt idx="9">
                  <c:v>2.1233620737295391E-7</c:v>
                </c:pt>
                <c:pt idx="10">
                  <c:v>1.2412531549046155E-5</c:v>
                </c:pt>
                <c:pt idx="11">
                  <c:v>2.9063539706789291E-4</c:v>
                </c:pt>
                <c:pt idx="12">
                  <c:v>4.3490782332923986E-3</c:v>
                </c:pt>
                <c:pt idx="13">
                  <c:v>1.5210761638997193E-2</c:v>
                </c:pt>
                <c:pt idx="14">
                  <c:v>0.164623494281671</c:v>
                </c:pt>
                <c:pt idx="15">
                  <c:v>2.2500892538468644</c:v>
                </c:pt>
              </c:numCache>
            </c:numRef>
          </c:xVal>
          <c:yVal>
            <c:numRef>
              <c:f>'3.2 (B)'!$G$3:$G$18</c:f>
              <c:numCache>
                <c:formatCode>0.0000000</c:formatCode>
                <c:ptCount val="16"/>
                <c:pt idx="0" formatCode="General">
                  <c:v>0</c:v>
                </c:pt>
                <c:pt idx="1">
                  <c:v>1.3931111221143384E-2</c:v>
                </c:pt>
                <c:pt idx="2">
                  <c:v>-1.804571207982824E-2</c:v>
                </c:pt>
                <c:pt idx="3">
                  <c:v>5.0202341093383354E-3</c:v>
                </c:pt>
                <c:pt idx="4">
                  <c:v>2.6856004671022013</c:v>
                </c:pt>
                <c:pt idx="5">
                  <c:v>7.2641148381232057</c:v>
                </c:pt>
                <c:pt idx="6">
                  <c:v>11.10911923960184</c:v>
                </c:pt>
                <c:pt idx="7">
                  <c:v>20.134422740597948</c:v>
                </c:pt>
                <c:pt idx="8">
                  <c:v>36.804533018844523</c:v>
                </c:pt>
                <c:pt idx="9">
                  <c:v>62.313036402605178</c:v>
                </c:pt>
                <c:pt idx="10">
                  <c:v>140.58732774813268</c:v>
                </c:pt>
                <c:pt idx="11">
                  <c:v>264.14585757544529</c:v>
                </c:pt>
                <c:pt idx="12">
                  <c:v>453.78856401435314</c:v>
                </c:pt>
                <c:pt idx="13">
                  <c:v>582.91374378353862</c:v>
                </c:pt>
                <c:pt idx="14">
                  <c:v>938.58252948795848</c:v>
                </c:pt>
                <c:pt idx="15">
                  <c:v>1583.4853584868604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93-41D7-9D87-B20DE7D991CC}"/>
            </c:ext>
          </c:extLst>
        </c:ser>
        <c:ser>
          <c:idx val="1"/>
          <c:order val="1"/>
          <c:tx>
            <c:strRef>
              <c:f>{"Raw"}</c:f>
              <c:strCache>
                <c:ptCount val="1"/>
                <c:pt idx="0">
                  <c:v>Raw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'3.2 (B)'!N3:N18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3.1574501585356074E-14</c:v>
                </c:pt>
                <c:pt idx="5">
                  <c:v>4.5713343998837405E-12</c:v>
                </c:pt>
                <c:pt idx="6">
                  <c:v>3.8240857888323463E-11</c:v>
                </c:pt>
                <c:pt idx="7">
                  <c:v>7.4786877175315753E-10</c:v>
                </c:pt>
                <c:pt idx="8">
                  <c:v>1.5262864325865915E-8</c:v>
                </c:pt>
                <c:pt idx="9">
                  <c:v>2.1233620737295391E-7</c:v>
                </c:pt>
                <c:pt idx="10">
                  <c:v>1.2412531549046155E-5</c:v>
                </c:pt>
                <c:pt idx="11">
                  <c:v>2.9063539706789291E-4</c:v>
                </c:pt>
                <c:pt idx="12">
                  <c:v>4.3490782332923986E-3</c:v>
                </c:pt>
                <c:pt idx="13">
                  <c:v>1.5210761638997193E-2</c:v>
                </c:pt>
                <c:pt idx="14">
                  <c:v>0.164623494281671</c:v>
                </c:pt>
                <c:pt idx="15">
                  <c:v>2.2500892538468644</c:v>
                </c:pt>
              </c:numCache>
            </c:numRef>
          </c:xVal>
          <c:yVal>
            <c:numRef>
              <c:f>'3.2 (B)'!E3:E18</c:f>
              <c:numCache>
                <c:formatCode>General</c:formatCode>
                <c:ptCount val="16"/>
                <c:pt idx="0">
                  <c:v>0</c:v>
                </c:pt>
                <c:pt idx="1">
                  <c:v>125.07499999999999</c:v>
                </c:pt>
                <c:pt idx="2">
                  <c:v>257.30840000000001</c:v>
                </c:pt>
                <c:pt idx="3">
                  <c:v>359.6103</c:v>
                </c:pt>
                <c:pt idx="4">
                  <c:v>318.10950000000003</c:v>
                </c:pt>
                <c:pt idx="5">
                  <c:v>335.33099999999996</c:v>
                </c:pt>
                <c:pt idx="6">
                  <c:v>360.57</c:v>
                </c:pt>
                <c:pt idx="7">
                  <c:v>403.74899999999997</c:v>
                </c:pt>
                <c:pt idx="8">
                  <c:v>471.74</c:v>
                </c:pt>
                <c:pt idx="9">
                  <c:v>532.35</c:v>
                </c:pt>
                <c:pt idx="10">
                  <c:v>602.25134266626912</c:v>
                </c:pt>
                <c:pt idx="11">
                  <c:v>703.17687906499111</c:v>
                </c:pt>
                <c:pt idx="12">
                  <c:v>784.53791593479525</c:v>
                </c:pt>
                <c:pt idx="13">
                  <c:v>821.86645173290344</c:v>
                </c:pt>
                <c:pt idx="14">
                  <c:v>960.11020830703217</c:v>
                </c:pt>
                <c:pt idx="15">
                  <c:v>1235.7689469387756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293-41D7-9D87-B20DE7D99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775048"/>
        <c:axId val="1834777096"/>
      </c:scatterChart>
      <c:valAx>
        <c:axId val="18347750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777096"/>
        <c:crosses val="autoZero"/>
        <c:crossBetween val="midCat"/>
      </c:valAx>
      <c:valAx>
        <c:axId val="18347770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775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552450</xdr:colOff>
      <xdr:row>14</xdr:row>
      <xdr:rowOff>0</xdr:rowOff>
    </xdr:from>
    <xdr:to>
      <xdr:col>17</xdr:col>
      <xdr:colOff>95250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0D26BC-111F-65FD-C590-AF1B8D85FB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-2133600</xdr:colOff>
      <xdr:row>0</xdr:row>
      <xdr:rowOff>0</xdr:rowOff>
    </xdr:from>
    <xdr:to>
      <xdr:col>0</xdr:col>
      <xdr:colOff>-2133600</xdr:colOff>
      <xdr:row>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DD812B-49E7-7703-823E-A93E2CD71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666750</xdr:colOff>
      <xdr:row>36</xdr:row>
      <xdr:rowOff>0</xdr:rowOff>
    </xdr:from>
    <xdr:to>
      <xdr:col>12</xdr:col>
      <xdr:colOff>485775</xdr:colOff>
      <xdr:row>47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7ED701-4EF8-68C6-0385-FCD945771F68}"/>
            </a:ext>
            <a:ext uri="{147F2762-F138-4A5C-976F-8EAC2B608ADB}">
              <a16:predDERef xmlns:a16="http://schemas.microsoft.com/office/drawing/2014/main" pred="{6DDD812B-49E7-7703-823E-A93E2CD71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-7610475</xdr:colOff>
      <xdr:row>0</xdr:row>
      <xdr:rowOff>-1028700</xdr:rowOff>
    </xdr:from>
    <xdr:to>
      <xdr:col>0</xdr:col>
      <xdr:colOff>-7610475</xdr:colOff>
      <xdr:row>0</xdr:row>
      <xdr:rowOff>-1028700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19BAC660-4379-73D5-82F0-8F4341D6466D}"/>
            </a:ext>
            <a:ext uri="{147F2762-F138-4A5C-976F-8EAC2B608ADB}">
              <a16:predDERef xmlns:a16="http://schemas.microsoft.com/office/drawing/2014/main" pred="{457ED701-4EF8-68C6-0385-FCD945771F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495300</xdr:colOff>
      <xdr:row>4</xdr:row>
      <xdr:rowOff>19050</xdr:rowOff>
    </xdr:from>
    <xdr:to>
      <xdr:col>21</xdr:col>
      <xdr:colOff>200025</xdr:colOff>
      <xdr:row>16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ED23DB-E402-4C9A-1580-7EF03570BA80}"/>
            </a:ext>
            <a:ext uri="{147F2762-F138-4A5C-976F-8EAC2B608ADB}">
              <a16:predDERef xmlns:a16="http://schemas.microsoft.com/office/drawing/2014/main" pred="{19BAC660-4379-73D5-82F0-8F4341D646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18</xdr:col>
      <xdr:colOff>304800</xdr:colOff>
      <xdr:row>2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10A407-257D-092F-0989-C0FAA1FBD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4572000" cy="3524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10</xdr:row>
      <xdr:rowOff>95250</xdr:rowOff>
    </xdr:from>
    <xdr:to>
      <xdr:col>10</xdr:col>
      <xdr:colOff>9525</xdr:colOff>
      <xdr:row>10</xdr:row>
      <xdr:rowOff>342900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CB9CB47F-B6D2-A709-9F6E-C48F43A3E680}"/>
            </a:ext>
          </a:extLst>
        </xdr:cNvPr>
        <xdr:cNvSpPr/>
      </xdr:nvSpPr>
      <xdr:spPr>
        <a:xfrm>
          <a:off x="7553325" y="3086100"/>
          <a:ext cx="590550" cy="24765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1B4E9AE-90DD-4011-821B-4FCF325EFBBF}">
  <we:reference id="wa104100404" version="3.0.0.1" store="en-US" storeType="omex"/>
  <we:alternateReferences>
    <we:reference id="wa104100404" version="3.0.0.1" store="en-US" storeType="omex"/>
  </we:alternateReferences>
  <we:properties>
    <we:property name="UniqueID" value="&quot;20251231740354322059&quot;"/>
    <we:property name="LC5c" value="&quot;&quot;"/>
    <we:property name="ECNaHwYrPRBeIQ==" value="&quot;JB5x&quot;"/>
    <we:property name="ECNaHwYrPRtVIQ==" value="&quot;Ug==&quot;"/>
    <we:property name="Mz5ZDRY6FlV9Lz1JKzYZDAY+aQcWNA==" value="&quot;UQ==&quot;"/>
    <we:property name="Mz5ZDRY6FlV9Lz1JKzYZDAY+aRsGNVM=" value="&quot;Q3ALSQ==&quot;"/>
    <we:property name="Mz5ZDRY6FlV9Lz1JKzYZDAY+aRsGNVA=" value="&quot;Q3ILSQ==&quot;"/>
    <we:property name="Mz5ZDRY6FlV9Lz1JKzYZDAY+aQULKlM=" value="&quot;Rw8SWFJjRjYUd3A=&quot;"/>
    <we:property name="Mz5ZDRY6FlV9Lz1JKzYZDAY+aRsLKlM=" value="&quot;Rw4SWFJjRjcUd3A=&quot;"/>
    <we:property name="Mz5ZDRY6FlV9Lz1JKzYZDAY+aQULKlA=" value="&quot;RwgSUFl9JFEJ&quot;"/>
    <we:property name="Mz5ZDRY6FlV9Lz1JKzYZDAY+aRsLKlA=" value="&quot;Uw==&quot;"/>
    <we:property name="Mz5ZDRY6FlV9Lz1JDjgHEwIuWgwQ" value="&quot;RwgSUFl9JFEJ&quot;"/>
    <we:property name="Mz5ZDRY6FlV9Lz1JFzsf" value="&quot;RwgSWFs=&quot;"/>
    <we:property name="Mz5ZDRY6FlV9Lz1JFTgNNwoi" value="&quot;Ug==&quot;"/>
    <we:property name="Mz5ZDRY6FlV9Lz1JKzYZDAY+aQwNPg==" value="&quot;Uw==&quot;"/>
    <we:property name="Mz5ZDRY6FlV9Lz1JKzYZDAY+aQcGPg==" value="&quot;Ug==&quot;"/>
    <we:property name="UGIESUsbS1RDKSkePSsqHw0r" value="&quot;JB5x&quot;"/>
    <we:property name="UGIESUsbS1R9Jz0lMTc=" value="&quot;UQ==&quot;"/>
    <we:property name="UGIESUsbS1R/JC8=" value="&quot;&quot;"/>
    <we:property name="UGIESUsbS1RDKSkePSsqFAYr" value="&quot;Ug==&quot;"/>
    <we:property name="UGIESUsbS1RDKSkePSsqChEp" value="&quot;U2IGWVNpUkQ=&quot;"/>
    <we:property name="UGIESUsbS1RDKSkePSsqCQAg" value="&quot;Ug==&quot;"/>
    <we:property name="UGIESUsbS1RDKSkePSsqCA80" value="&quot;Uw==&quot;"/>
    <we:property name="UGIESUsbS1RDKSkePSsqDgwg" value="&quot;U2IGWA==&quot;"/>
    <we:property name="UGIESUsbS1RDKSkePSsqGRUr" value="&quot;U2IGWVNo&quot;"/>
    <we:property name="UGIESUsbS1RDKSkePSsqFxAg" value="&quot;Uw==&quot;"/>
    <we:property name="UGIESUsbS1RDKSkePSsqCRA2" value="&quot;UnwG&quot;"/>
    <we:property name="UGIESUsbS1RDKSkePSsqCBAo" value="&quot;Uw==&quot;"/>
    <we:property name="UGIESUsbS1RDKSkePSsqFxE4" value="&quot;U2IGXlY=&quot;"/>
    <we:property name="UGIESUsbS1RDKSkePSsqFw0l" value="&quot;UHw=&quot;"/>
    <we:property name="UGIESUsbS1RDKSkePSsqCAE6" value="&quot;Ug==&quot;"/>
    <we:property name="UGIESUsbS1RDKSkePSsqFBc+" value="&quot;UQ==&quot;"/>
    <we:property name="UGIESUsbS1RDKSkePSsqGwAv" value="&quot;U2IGWVI=&quot;"/>
    <we:property name="UGIESUsbS1RDKSkePSsqCAY/" value="&quot;Vg==&quot;"/>
    <we:property name="UGIESUsbS1RDKSkePSsqGxE/" value="&quot;Ug==&quot;"/>
    <we:property name="UGIESUsbS1RDKSkePSsqCRct" value="&quot;Uw==&quot;"/>
    <we:property name="UGIESUsbS1RDKSkePSsqFwY4" value="&quot;UQ==&quot;"/>
    <we:property name="UGIESUsbS1RDKSkePSsqCQwv" value="&quot;Uw==&quot;"/>
    <we:property name="UGIESUsbS1RDKSkePSsqFhM4" value="&quot;Uw==&quot;"/>
    <we:property name="UGIESUsbS1RDKSkePSsqFhM8" value="&quot;Uw==&quot;"/>
    <we:property name="UGIESUsbS1RDKSkePSsqHQI8" value="&quot;U2IGWVNpUkQ=&quot;"/>
    <we:property name="UGIESUsbS1RDKSkePSsqExM/" value="&quot;U2IPUA==&quot;"/>
    <we:property name="UGIESUsbS1RDKSkePSsqHAYt" value="&quot;U2IGWVNpUkQ=&quot;"/>
    <we:property name="UGIESUsbS1RDKSkePSsqExMl" value="&quot;Ug==&quot;"/>
    <we:property name="UGIESUsbS1RDKSkePSsqExMo" value="&quot;UA==&quot;"/>
    <we:property name="UGIESUsbS1RmJzcBOTsZHxA=" value="&quot;RwcSWw==&quot;"/>
    <we:property name="UGIESUsbS1RmJzcBOTsZHxB9" value="&quot;RyASWw==&quot;"/>
    <we:property name="UGIESUsbS1RmJzcBOTsZHxB+" value="&quot;&quot;"/>
  </we:properties>
  <we:bindings>
    <we:binding id="Var0" type="matrix" appref="{D1E2D6C3-23FE-4ECD-88C4-954A2F7B808F}"/>
    <we:binding id="3.2 (B)refEdit" type="matrix" appref="{4674A042-2837-4560-95D6-B83A6AB2FC90}"/>
    <we:binding id="3.2 (B)Worker" type="matrix" appref="{9D9D27AA-F02D-4EAB-AE15-BCAA4377C174}"/>
    <we:binding id="refEdit" type="matrix" appref="{AD70736C-90C9-4F53-895B-B0DA081F60E9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selection activeCell="N12" sqref="N12"/>
    </sheetView>
  </sheetViews>
  <sheetFormatPr defaultRowHeight="15"/>
  <cols>
    <col min="1" max="1" width="11.5703125" bestFit="1" customWidth="1"/>
    <col min="2" max="2" width="7.140625" bestFit="1" customWidth="1"/>
    <col min="3" max="3" width="15" bestFit="1" customWidth="1"/>
  </cols>
  <sheetData>
    <row r="1" spans="1:13">
      <c r="A1" s="7" t="s">
        <v>0</v>
      </c>
      <c r="B1" s="7"/>
      <c r="D1" s="7" t="s">
        <v>1</v>
      </c>
      <c r="E1" s="7"/>
    </row>
    <row r="2" spans="1:13">
      <c r="A2" t="s">
        <v>2</v>
      </c>
      <c r="B2" t="s">
        <v>3</v>
      </c>
      <c r="C2" t="s">
        <v>4</v>
      </c>
      <c r="D2" t="s">
        <v>3</v>
      </c>
      <c r="E2" t="s">
        <v>5</v>
      </c>
      <c r="F2" t="s">
        <v>6</v>
      </c>
      <c r="G2">
        <v>212181</v>
      </c>
      <c r="H2" t="s">
        <v>7</v>
      </c>
    </row>
    <row r="3" spans="1:13">
      <c r="A3">
        <v>0</v>
      </c>
      <c r="B3">
        <v>0</v>
      </c>
      <c r="C3">
        <v>6.32</v>
      </c>
      <c r="D3">
        <f>B3+0.002</f>
        <v>2E-3</v>
      </c>
      <c r="E3">
        <f>B3*212181</f>
        <v>0</v>
      </c>
      <c r="I3" t="s">
        <v>8</v>
      </c>
      <c r="L3">
        <v>576</v>
      </c>
      <c r="M3" t="s">
        <v>7</v>
      </c>
    </row>
    <row r="4" spans="1:13">
      <c r="A4">
        <v>125</v>
      </c>
      <c r="B4">
        <v>5.9999999999999995E-4</v>
      </c>
      <c r="D4">
        <f t="shared" ref="D4:D6" si="0">B4+0.002</f>
        <v>2.5999999999999999E-3</v>
      </c>
      <c r="E4">
        <f t="shared" ref="E4:E6" si="1">B4*212181</f>
        <v>127.30859999999998</v>
      </c>
      <c r="I4" t="s">
        <v>9</v>
      </c>
      <c r="L4">
        <f>(C3^2-C18^2)/C3^2</f>
        <v>0.69330836404422369</v>
      </c>
    </row>
    <row r="5" spans="1:13">
      <c r="A5">
        <v>257</v>
      </c>
      <c r="B5">
        <v>1.1999999999999999E-3</v>
      </c>
      <c r="D5">
        <f t="shared" si="0"/>
        <v>3.1999999999999997E-3</v>
      </c>
      <c r="E5">
        <f t="shared" si="1"/>
        <v>254.61719999999997</v>
      </c>
      <c r="L5">
        <f>L4*100</f>
        <v>69.330836404422371</v>
      </c>
      <c r="M5" t="s">
        <v>10</v>
      </c>
    </row>
    <row r="6" spans="1:13">
      <c r="A6">
        <v>359</v>
      </c>
      <c r="B6">
        <v>1.6999999999999999E-3</v>
      </c>
      <c r="D6">
        <f t="shared" si="0"/>
        <v>3.7000000000000002E-3</v>
      </c>
      <c r="E6">
        <f t="shared" si="1"/>
        <v>360.70769999999999</v>
      </c>
    </row>
    <row r="7" spans="1:13">
      <c r="A7">
        <v>317</v>
      </c>
      <c r="B7">
        <v>3.5000000000000001E-3</v>
      </c>
    </row>
    <row r="8" spans="1:13">
      <c r="A8">
        <v>333</v>
      </c>
      <c r="B8">
        <v>7.0000000000000001E-3</v>
      </c>
    </row>
    <row r="9" spans="1:13">
      <c r="A9">
        <v>357</v>
      </c>
      <c r="B9">
        <v>0.01</v>
      </c>
    </row>
    <row r="10" spans="1:13">
      <c r="A10">
        <v>397</v>
      </c>
      <c r="B10">
        <v>1.7000000000000001E-2</v>
      </c>
    </row>
    <row r="11" spans="1:13">
      <c r="A11">
        <v>458</v>
      </c>
      <c r="B11">
        <v>0.03</v>
      </c>
    </row>
    <row r="12" spans="1:13">
      <c r="A12">
        <v>507</v>
      </c>
      <c r="B12">
        <v>0.05</v>
      </c>
    </row>
    <row r="13" spans="1:13">
      <c r="A13">
        <v>541</v>
      </c>
      <c r="B13">
        <v>7.9000000000000001E-2</v>
      </c>
      <c r="C13">
        <v>5.99</v>
      </c>
    </row>
    <row r="14" spans="1:13">
      <c r="A14">
        <v>576</v>
      </c>
      <c r="C14">
        <v>5.72</v>
      </c>
    </row>
    <row r="15" spans="1:13">
      <c r="A15">
        <v>558</v>
      </c>
      <c r="C15">
        <v>5.33</v>
      </c>
    </row>
    <row r="16" spans="1:13">
      <c r="A16">
        <v>531</v>
      </c>
      <c r="C16">
        <v>5.08</v>
      </c>
    </row>
    <row r="17" spans="1:3">
      <c r="A17">
        <v>476</v>
      </c>
      <c r="C17">
        <v>4.45</v>
      </c>
    </row>
    <row r="18" spans="1:3">
      <c r="A18">
        <v>379</v>
      </c>
      <c r="C18">
        <v>3.5</v>
      </c>
    </row>
  </sheetData>
  <mergeCells count="2">
    <mergeCell ref="A1:B1"/>
    <mergeCell ref="D1:E1"/>
  </mergeCells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25D9E144-A1FD-45B2-9DEF-A0840F840052}">
          <xm:f>'3.2'!1:1048576</xm:f>
        </x15:webExtension>
        <x15:webExtension appRef="{83AAF751-9683-4C8C-ABA4-C60FCB1BA7A7}">
          <xm:f>#REF!</xm:f>
        </x15:webExtension>
        <x15:webExtension appRef="{D1E2D6C3-23FE-4ECD-88C4-954A2F7B808F}">
          <xm:f>#REF!</xm:f>
        </x15:webExtension>
        <x15:webExtension appRef="{D1E2D6C3-23FE-4ECD-88C4-954A2F7B808F}">
          <xm:f>#REF!</xm:f>
        </x15:webExtension>
        <x15:webExtension appRef="{D1E2D6C3-23FE-4ECD-88C4-954A2F7B808F}">
          <xm:f>#REF!</xm:f>
        </x15:webExtension>
        <x15:webExtension appRef="{D1E2D6C3-23FE-4ECD-88C4-954A2F7B808F}">
          <xm:f>#REF!</xm:f>
        </x15:webExtension>
        <x15:webExtension appRef="{AD70736C-90C9-4F53-895B-B0DA081F60E9}">
          <xm:f>'3.2'!1:1048576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78F7-BBDA-4357-A00D-9698B346AE3B}">
  <dimension ref="A1:XFD1048575"/>
  <sheetViews>
    <sheetView workbookViewId="0">
      <selection activeCell="M19" sqref="M19"/>
    </sheetView>
  </sheetViews>
  <sheetFormatPr defaultRowHeight="15"/>
  <cols>
    <col min="1" max="1" width="11.5703125" bestFit="1" customWidth="1"/>
    <col min="2" max="2" width="7.140625" bestFit="1" customWidth="1"/>
    <col min="3" max="3" width="6.85546875" bestFit="1" customWidth="1"/>
    <col min="5" max="5" width="12.5703125" bestFit="1" customWidth="1"/>
    <col min="6" max="7" width="19.5703125" customWidth="1"/>
    <col min="8" max="8" width="17.5703125" customWidth="1"/>
    <col min="9" max="9" width="12.28515625" customWidth="1"/>
    <col min="11" max="11" width="3.28515625" customWidth="1"/>
  </cols>
  <sheetData>
    <row r="1" spans="1:14">
      <c r="A1" s="7" t="s">
        <v>0</v>
      </c>
      <c r="B1" s="7"/>
      <c r="D1" s="7" t="b">
        <v>1</v>
      </c>
      <c r="E1" s="7"/>
      <c r="F1" s="7" t="s">
        <v>11</v>
      </c>
      <c r="G1" s="7"/>
      <c r="K1" t="s">
        <v>6</v>
      </c>
      <c r="L1">
        <v>212181</v>
      </c>
      <c r="M1" t="s">
        <v>7</v>
      </c>
    </row>
    <row r="2" spans="1:14">
      <c r="A2" t="s">
        <v>2</v>
      </c>
      <c r="B2" t="s">
        <v>3</v>
      </c>
      <c r="C2" t="s">
        <v>12</v>
      </c>
      <c r="D2" t="s">
        <v>3</v>
      </c>
      <c r="E2" t="s">
        <v>5</v>
      </c>
      <c r="F2" t="s">
        <v>3</v>
      </c>
      <c r="G2" t="s">
        <v>5</v>
      </c>
      <c r="H2" t="s">
        <v>13</v>
      </c>
      <c r="I2">
        <v>1.1760883530056894</v>
      </c>
      <c r="J2" t="s">
        <v>14</v>
      </c>
      <c r="K2" t="s">
        <v>15</v>
      </c>
      <c r="L2">
        <v>1346.4</v>
      </c>
      <c r="N2" t="s">
        <v>16</v>
      </c>
    </row>
    <row r="3" spans="1:14">
      <c r="A3">
        <v>0</v>
      </c>
      <c r="B3">
        <v>0</v>
      </c>
      <c r="C3">
        <v>6.32</v>
      </c>
      <c r="D3">
        <f>LN(1+B3)</f>
        <v>0</v>
      </c>
      <c r="E3">
        <f>A3*(1+B3)</f>
        <v>0</v>
      </c>
      <c r="F3">
        <f>(G3/212181)+((G3/H)^(1/N))</f>
        <v>0</v>
      </c>
      <c r="G3">
        <f>H*H3</f>
        <v>0</v>
      </c>
      <c r="H3">
        <f>D3-(E3/212181)</f>
        <v>0</v>
      </c>
      <c r="J3">
        <f>(G3-E3)^2</f>
        <v>0</v>
      </c>
      <c r="K3" t="s">
        <v>17</v>
      </c>
      <c r="L3">
        <v>0.2</v>
      </c>
      <c r="N3">
        <f>F3-G3/212181</f>
        <v>0</v>
      </c>
    </row>
    <row r="4" spans="1:14">
      <c r="A4">
        <v>125</v>
      </c>
      <c r="B4">
        <v>5.9999999999999995E-4</v>
      </c>
      <c r="C4" s="1"/>
      <c r="D4">
        <f t="shared" ref="D4:D12" si="0">LN(1+B4)</f>
        <v>5.9982007196754947E-4</v>
      </c>
      <c r="E4">
        <f t="shared" ref="E4:E13" si="1">A4*(1+B4)</f>
        <v>125.07499999999999</v>
      </c>
      <c r="F4">
        <f>(G4/212181)+((G4/H)^(1/N))</f>
        <v>6.5656732794846782E-8</v>
      </c>
      <c r="G4" s="2">
        <f>H*H4</f>
        <v>1.3931111221143384E-2</v>
      </c>
      <c r="H4">
        <f t="shared" ref="H4:H18" si="2">D4-(E4/212181)</f>
        <v>1.0346933467872388E-5</v>
      </c>
      <c r="J4">
        <f t="shared" ref="J4:J18" si="3">(G4-E4)^2</f>
        <v>15640.270951603889</v>
      </c>
      <c r="N4">
        <f t="shared" ref="N4:N18" si="4">F4-G4/212181</f>
        <v>0</v>
      </c>
    </row>
    <row r="5" spans="1:14">
      <c r="A5">
        <v>257</v>
      </c>
      <c r="B5">
        <v>1.1999999999999999E-3</v>
      </c>
      <c r="C5" s="1"/>
      <c r="D5">
        <f t="shared" si="0"/>
        <v>1.1992805754821869E-3</v>
      </c>
      <c r="E5">
        <f t="shared" si="1"/>
        <v>257.30840000000001</v>
      </c>
      <c r="F5">
        <f>(G5/212181)+((G5/H)^(1/N))</f>
        <v>-8.5048671086611151E-8</v>
      </c>
      <c r="G5" s="2">
        <f>H*H5</f>
        <v>-1.804571207982824E-2</v>
      </c>
      <c r="H5">
        <f t="shared" si="2"/>
        <v>-1.3402935293990075E-5</v>
      </c>
      <c r="J5">
        <f t="shared" si="3"/>
        <v>66216.899662811964</v>
      </c>
      <c r="N5">
        <f t="shared" si="4"/>
        <v>0</v>
      </c>
    </row>
    <row r="6" spans="1:14">
      <c r="A6">
        <v>359</v>
      </c>
      <c r="B6">
        <v>1.6999999999999999E-3</v>
      </c>
      <c r="C6" s="1"/>
      <c r="D6">
        <f t="shared" si="0"/>
        <v>1.6985566355815121E-3</v>
      </c>
      <c r="E6">
        <f t="shared" si="1"/>
        <v>359.6103</v>
      </c>
      <c r="F6">
        <f>(G6/212181)+((G6/H)^(1/N))</f>
        <v>2.366014916198121E-8</v>
      </c>
      <c r="G6" s="2">
        <f>H*H6</f>
        <v>5.0202341093383354E-3</v>
      </c>
      <c r="H6">
        <f t="shared" si="2"/>
        <v>3.7286349594016152E-6</v>
      </c>
      <c r="J6">
        <f t="shared" si="3"/>
        <v>129315.95723550449</v>
      </c>
      <c r="N6">
        <f t="shared" si="4"/>
        <v>0</v>
      </c>
    </row>
    <row r="7" spans="1:14">
      <c r="A7">
        <v>317</v>
      </c>
      <c r="B7">
        <v>3.5000000000000001E-3</v>
      </c>
      <c r="C7" s="1"/>
      <c r="D7">
        <f t="shared" si="0"/>
        <v>3.4938892542558382E-3</v>
      </c>
      <c r="E7">
        <f t="shared" si="1"/>
        <v>318.10950000000003</v>
      </c>
      <c r="F7">
        <f>(G7/212181)+((G7/H)^(1/N))</f>
        <v>1.2657120448116046E-5</v>
      </c>
      <c r="G7" s="2">
        <f>H*H7</f>
        <v>2.6856004671022013</v>
      </c>
      <c r="H7">
        <f t="shared" si="2"/>
        <v>1.9946527533438807E-3</v>
      </c>
      <c r="J7">
        <f t="shared" si="3"/>
        <v>99492.236396539636</v>
      </c>
      <c r="N7">
        <f t="shared" si="4"/>
        <v>3.1574501585356074E-14</v>
      </c>
    </row>
    <row r="8" spans="1:14">
      <c r="A8">
        <v>333</v>
      </c>
      <c r="B8">
        <v>7.0000000000000001E-3</v>
      </c>
      <c r="C8" s="1"/>
      <c r="D8">
        <f t="shared" si="0"/>
        <v>6.9756137364251382E-3</v>
      </c>
      <c r="E8">
        <f t="shared" si="1"/>
        <v>335.33099999999996</v>
      </c>
      <c r="F8">
        <f>(G8/212181)+((G8/H)^(1/N))</f>
        <v>3.4235467869759828E-5</v>
      </c>
      <c r="G8" s="2">
        <f>H*H8</f>
        <v>7.2641148381232057</v>
      </c>
      <c r="H8">
        <f t="shared" si="2"/>
        <v>5.395213040792636E-3</v>
      </c>
      <c r="J8">
        <f t="shared" si="3"/>
        <v>107627.88113981605</v>
      </c>
      <c r="N8">
        <f t="shared" si="4"/>
        <v>4.5713343998837405E-12</v>
      </c>
    </row>
    <row r="9" spans="1:14">
      <c r="A9">
        <v>357</v>
      </c>
      <c r="B9">
        <v>0.01</v>
      </c>
      <c r="C9" s="1"/>
      <c r="D9">
        <f t="shared" si="0"/>
        <v>9.950330853168092E-3</v>
      </c>
      <c r="E9">
        <f t="shared" si="1"/>
        <v>360.57</v>
      </c>
      <c r="F9">
        <f>(G9/212181)+((G9/H)^(1/N))</f>
        <v>5.2356843230945787E-5</v>
      </c>
      <c r="G9" s="2">
        <f>H*H9</f>
        <v>11.10911923960184</v>
      </c>
      <c r="H9">
        <f t="shared" si="2"/>
        <v>8.2509798273929288E-3</v>
      </c>
      <c r="J9">
        <f t="shared" si="3"/>
        <v>122122.9071818332</v>
      </c>
      <c r="N9">
        <f t="shared" si="4"/>
        <v>3.8240857888323463E-11</v>
      </c>
    </row>
    <row r="10" spans="1:14">
      <c r="A10">
        <v>397</v>
      </c>
      <c r="B10">
        <v>1.7000000000000001E-2</v>
      </c>
      <c r="C10" s="1"/>
      <c r="D10">
        <f>LN(1+B10)</f>
        <v>1.6857117066422806E-2</v>
      </c>
      <c r="E10">
        <f>A10*(1+B10)</f>
        <v>403.74899999999997</v>
      </c>
      <c r="F10">
        <f>(G10/212181)+((G10/H)^(1/N))</f>
        <v>9.4893423181820275E-5</v>
      </c>
      <c r="G10" s="2">
        <f>H*H10</f>
        <v>20.134422740597948</v>
      </c>
      <c r="H10">
        <f t="shared" si="2"/>
        <v>1.4954265255940246E-2</v>
      </c>
      <c r="J10">
        <f t="shared" si="3"/>
        <v>147160.14388590973</v>
      </c>
      <c r="N10">
        <f t="shared" si="4"/>
        <v>7.4786877175315753E-10</v>
      </c>
    </row>
    <row r="11" spans="1:14">
      <c r="A11">
        <v>458</v>
      </c>
      <c r="B11">
        <v>0.03</v>
      </c>
      <c r="C11" s="1"/>
      <c r="D11">
        <f t="shared" si="0"/>
        <v>2.9558802241544429E-2</v>
      </c>
      <c r="E11">
        <f t="shared" si="1"/>
        <v>471.74</v>
      </c>
      <c r="F11">
        <f>(G11/212181)+((G11/H)^(1/N))</f>
        <v>1.7347345666511162E-4</v>
      </c>
      <c r="G11" s="2">
        <f>H*H11</f>
        <v>36.804533018844523</v>
      </c>
      <c r="H11">
        <f t="shared" si="2"/>
        <v>2.7335511748993256E-2</v>
      </c>
      <c r="J11">
        <f t="shared" si="3"/>
        <v>189168.86043811581</v>
      </c>
      <c r="N11">
        <f t="shared" si="4"/>
        <v>1.5262864325865915E-8</v>
      </c>
    </row>
    <row r="12" spans="1:14">
      <c r="A12">
        <v>507</v>
      </c>
      <c r="B12">
        <v>0.05</v>
      </c>
      <c r="C12" s="1"/>
      <c r="D12">
        <f t="shared" si="0"/>
        <v>4.8790164169432049E-2</v>
      </c>
      <c r="E12">
        <f t="shared" si="1"/>
        <v>532.35</v>
      </c>
      <c r="F12">
        <f>(G12/212181)+((G12/H)^(1/N))</f>
        <v>2.9389101809974399E-4</v>
      </c>
      <c r="G12" s="2">
        <f>H*H12</f>
        <v>62.313036402605178</v>
      </c>
      <c r="H12">
        <f t="shared" si="2"/>
        <v>4.6281221332891545E-2</v>
      </c>
      <c r="J12">
        <f t="shared" si="3"/>
        <v>220934.7471478587</v>
      </c>
      <c r="N12">
        <f t="shared" si="4"/>
        <v>2.1233620737295391E-7</v>
      </c>
    </row>
    <row r="13" spans="1:14">
      <c r="A13">
        <v>541</v>
      </c>
      <c r="B13">
        <v>7.9000000000000001E-2</v>
      </c>
      <c r="C13">
        <v>5.99</v>
      </c>
      <c r="D13">
        <f>2*LN(6.32/C13)</f>
        <v>0.10725559206281615</v>
      </c>
      <c r="E13">
        <f>A13*((6.32/C13)^2)</f>
        <v>602.25134266626912</v>
      </c>
      <c r="F13">
        <f>(G13/212181)+((G13/H)^(1/N))</f>
        <v>6.7499460887044944E-4</v>
      </c>
      <c r="G13" s="2">
        <f>H*H13</f>
        <v>140.58732774813268</v>
      </c>
      <c r="H13">
        <f t="shared" si="2"/>
        <v>0.10441720718072836</v>
      </c>
      <c r="J13">
        <f t="shared" si="3"/>
        <v>213133.66267033332</v>
      </c>
      <c r="N13">
        <f t="shared" si="4"/>
        <v>1.2412531549046155E-5</v>
      </c>
    </row>
    <row r="14" spans="1:14">
      <c r="A14">
        <v>576</v>
      </c>
      <c r="C14">
        <v>5.72</v>
      </c>
      <c r="D14">
        <f t="shared" ref="D14:D18" si="5">2*LN(6.32/C14)</f>
        <v>0.19950080553411925</v>
      </c>
      <c r="E14">
        <f t="shared" ref="E14:E18" si="6">A14*((6.32/C14)^2)</f>
        <v>703.17687906499111</v>
      </c>
      <c r="F14">
        <f>(G14/212181)+((G14/H)^(1/N))</f>
        <v>1.5355435536674249E-3</v>
      </c>
      <c r="G14" s="2">
        <f>H*H14</f>
        <v>264.14585757544529</v>
      </c>
      <c r="H14">
        <f t="shared" si="2"/>
        <v>0.19618676290511386</v>
      </c>
      <c r="J14">
        <f t="shared" si="3"/>
        <v>192748.23783015404</v>
      </c>
      <c r="N14">
        <f t="shared" si="4"/>
        <v>2.9063539706789291E-4</v>
      </c>
    </row>
    <row r="15" spans="1:14">
      <c r="A15">
        <v>558</v>
      </c>
      <c r="C15">
        <v>5.33</v>
      </c>
      <c r="D15">
        <f t="shared" si="5"/>
        <v>0.340735939962026</v>
      </c>
      <c r="E15">
        <f t="shared" si="6"/>
        <v>784.53791593479525</v>
      </c>
      <c r="F15">
        <f>(G15/212181)+((G15/H)^(1/N))</f>
        <v>6.4877643739664134E-3</v>
      </c>
      <c r="G15" s="2">
        <f>H*H15</f>
        <v>453.78856401435314</v>
      </c>
      <c r="H15">
        <f t="shared" si="2"/>
        <v>0.33703844623763601</v>
      </c>
      <c r="J15">
        <f t="shared" si="3"/>
        <v>109395.13379579246</v>
      </c>
      <c r="N15">
        <f t="shared" si="4"/>
        <v>4.3490782332923986E-3</v>
      </c>
    </row>
    <row r="16" spans="1:14">
      <c r="A16">
        <v>531</v>
      </c>
      <c r="C16">
        <v>5.08</v>
      </c>
      <c r="D16">
        <f t="shared" si="5"/>
        <v>0.43681589313675107</v>
      </c>
      <c r="E16">
        <f t="shared" si="6"/>
        <v>821.86645173290344</v>
      </c>
      <c r="F16">
        <f>(G16/212181)+((G16/H)^(1/N))</f>
        <v>1.7958009242616455E-2</v>
      </c>
      <c r="G16" s="2">
        <f>H*H16</f>
        <v>582.91374378353862</v>
      </c>
      <c r="H16">
        <f t="shared" si="2"/>
        <v>0.43294247161581895</v>
      </c>
      <c r="J16">
        <f t="shared" si="3"/>
        <v>57098.396636334437</v>
      </c>
      <c r="N16">
        <f t="shared" si="4"/>
        <v>1.5210761638997193E-2</v>
      </c>
    </row>
    <row r="17" spans="1:14">
      <c r="A17">
        <v>476</v>
      </c>
      <c r="C17">
        <v>4.45</v>
      </c>
      <c r="D17">
        <f t="shared" si="5"/>
        <v>0.70163022396123453</v>
      </c>
      <c r="E17">
        <f t="shared" si="6"/>
        <v>960.11020830703217</v>
      </c>
      <c r="F17">
        <f>(G17/212181)+((G17/H)^(1/N))</f>
        <v>0.16904699369720755</v>
      </c>
      <c r="G17" s="2">
        <f>H*H17</f>
        <v>938.58252948795848</v>
      </c>
      <c r="H17">
        <f t="shared" si="2"/>
        <v>0.69710526551393226</v>
      </c>
      <c r="J17">
        <f t="shared" si="3"/>
        <v>463.44095533719377</v>
      </c>
      <c r="N17">
        <f t="shared" si="4"/>
        <v>0.164623494281671</v>
      </c>
    </row>
    <row r="18" spans="1:14">
      <c r="A18">
        <v>379</v>
      </c>
      <c r="C18">
        <v>3.5</v>
      </c>
      <c r="D18">
        <f t="shared" si="5"/>
        <v>1.1819124793267963</v>
      </c>
      <c r="E18">
        <f t="shared" si="6"/>
        <v>1235.7689469387756</v>
      </c>
      <c r="F18">
        <f>(G18/212181)+((G18/H)^(1/N))</f>
        <v>2.2575521527797888</v>
      </c>
      <c r="G18" s="2">
        <f>H*H18</f>
        <v>1583.4853584868604</v>
      </c>
      <c r="H18">
        <f t="shared" si="2"/>
        <v>1.1760883530056894</v>
      </c>
      <c r="J18">
        <f t="shared" si="3"/>
        <v>120906.70285987708</v>
      </c>
      <c r="N18">
        <f t="shared" si="4"/>
        <v>2.2500892538468644</v>
      </c>
    </row>
    <row r="19" spans="1:14">
      <c r="J19">
        <f>SUM(J3:J18)</f>
        <v>1791425.4787878222</v>
      </c>
    </row>
    <row r="1048550" spans="16384:16384">
      <c r="XFD1048550" t="e" cm="1">
        <f t="array" aca="1" ref="XFD1048550" ca="1">solver_pre</f>
        <v>#NAME?</v>
      </c>
    </row>
    <row r="1048551" spans="16384:16384">
      <c r="XFD1048551" t="e" cm="1">
        <f t="array" aca="1" ref="XFD1048551" ca="1">solver_scl</f>
        <v>#NAME?</v>
      </c>
    </row>
    <row r="1048552" spans="16384:16384">
      <c r="XFD1048552" t="e" cm="1">
        <f t="array" aca="1" ref="XFD1048552" ca="1">solver_rlx</f>
        <v>#NAME?</v>
      </c>
    </row>
    <row r="1048553" spans="16384:16384">
      <c r="XFD1048553" t="e" cm="1">
        <f t="array" aca="1" ref="XFD1048553" ca="1">solver_tol</f>
        <v>#NAME?</v>
      </c>
    </row>
    <row r="1048554" spans="16384:16384">
      <c r="XFD1048554" t="e" cm="1">
        <f t="array" aca="1" ref="XFD1048554" ca="1">solver_cvg</f>
        <v>#NAME?</v>
      </c>
    </row>
    <row r="1048555" spans="16384:16384">
      <c r="XFD1048555" t="e" cm="1">
        <f t="array" aca="1" ref="XFD1048555" ca="1">AREAS(solver_adj1)</f>
        <v>#NAME?</v>
      </c>
    </row>
    <row r="1048556" spans="16384:16384">
      <c r="XFD1048556" t="e" cm="1">
        <f t="array" aca="1" ref="XFD1048556" ca="1">solver_ssz</f>
        <v>#NAME?</v>
      </c>
    </row>
    <row r="1048557" spans="16384:16384">
      <c r="XFD1048557" t="e" cm="1">
        <f t="array" aca="1" ref="XFD1048557" ca="1">solver_rsd</f>
        <v>#NAME?</v>
      </c>
    </row>
    <row r="1048558" spans="16384:16384">
      <c r="XFD1048558" t="e" cm="1">
        <f t="array" aca="1" ref="XFD1048558" ca="1">solver_mrt</f>
        <v>#NAME?</v>
      </c>
    </row>
    <row r="1048559" spans="16384:16384">
      <c r="XFD1048559" t="e" cm="1">
        <f t="array" aca="1" ref="XFD1048559" ca="1">solver_mni</f>
        <v>#NAME?</v>
      </c>
    </row>
    <row r="1048560" spans="16384:16384">
      <c r="XFD1048560" t="e" cm="1">
        <f t="array" aca="1" ref="XFD1048560" ca="1">solver_rbv</f>
        <v>#NAME?</v>
      </c>
    </row>
    <row r="1048561" spans="16384:16384">
      <c r="XFD1048561" t="e" cm="1">
        <f t="array" aca="1" ref="XFD1048561" ca="1">solver_neg</f>
        <v>#NAME?</v>
      </c>
    </row>
    <row r="1048562" spans="16384:16384">
      <c r="XFD1048562" t="e" cm="1">
        <f t="array" aca="1" ref="XFD1048562" ca="1">solver_ntr</f>
        <v>#NAME?</v>
      </c>
    </row>
    <row r="1048563" spans="16384:16384">
      <c r="XFD1048563" t="e" cm="1">
        <f t="array" aca="1" ref="XFD1048563" ca="1">solver_acc</f>
        <v>#NAME?</v>
      </c>
    </row>
    <row r="1048564" spans="16384:16384">
      <c r="XFD1048564" t="e" cm="1">
        <f t="array" aca="1" ref="XFD1048564" ca="1">solver_res</f>
        <v>#NAME?</v>
      </c>
    </row>
    <row r="1048565" spans="16384:16384">
      <c r="XFD1048565" t="e" cm="1">
        <f t="array" aca="1" ref="XFD1048565" ca="1">solver_ars</f>
        <v>#NAME?</v>
      </c>
    </row>
    <row r="1048566" spans="16384:16384">
      <c r="XFD1048566" t="e" cm="1">
        <f t="array" aca="1" ref="XFD1048566" ca="1">solver_sta</f>
        <v>#NAME?</v>
      </c>
    </row>
    <row r="1048567" spans="16384:16384">
      <c r="XFD1048567" t="e" cm="1">
        <f t="array" aca="1" ref="XFD1048567" ca="1">solver_met</f>
        <v>#NAME?</v>
      </c>
    </row>
    <row r="1048568" spans="16384:16384">
      <c r="XFD1048568" t="e" cm="1">
        <f t="array" aca="1" ref="XFD1048568" ca="1">solver_soc</f>
        <v>#NAME?</v>
      </c>
    </row>
    <row r="1048569" spans="16384:16384">
      <c r="XFD1048569" t="e" cm="1">
        <f t="array" aca="1" ref="XFD1048569" ca="1">solver_lpt</f>
        <v>#NAME?</v>
      </c>
    </row>
    <row r="1048570" spans="16384:16384">
      <c r="XFD1048570" t="e" cm="1">
        <f t="array" aca="1" ref="XFD1048570" ca="1">solver_lpp</f>
        <v>#NAME?</v>
      </c>
    </row>
    <row r="1048571" spans="16384:16384">
      <c r="XFD1048571" t="e" cm="1">
        <f t="array" aca="1" ref="XFD1048571" ca="1">solver_gap</f>
        <v>#NAME?</v>
      </c>
    </row>
    <row r="1048572" spans="16384:16384">
      <c r="XFD1048572" t="e" cm="1">
        <f t="array" aca="1" ref="XFD1048572" ca="1">solver_ips</f>
        <v>#NAME?</v>
      </c>
    </row>
    <row r="1048573" spans="16384:16384">
      <c r="XFD1048573" t="e" cm="1">
        <f t="array" aca="1" ref="XFD1048573" ca="1">solver_fea</f>
        <v>#NAME?</v>
      </c>
    </row>
    <row r="1048574" spans="16384:16384">
      <c r="XFD1048574" t="e" cm="1">
        <f t="array" aca="1" ref="XFD1048574" ca="1">solver_ipi</f>
        <v>#NAME?</v>
      </c>
    </row>
    <row r="1048575" spans="16384:16384">
      <c r="XFD1048575" t="e" cm="1">
        <f t="array" aca="1" ref="XFD1048575" ca="1">solver_ipd</f>
        <v>#NAME?</v>
      </c>
    </row>
  </sheetData>
  <mergeCells count="3">
    <mergeCell ref="A1:B1"/>
    <mergeCell ref="D1:E1"/>
    <mergeCell ref="F1:G1"/>
  </mergeCells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CE8DF15A-02A6-4E7B-BBF8-CA7EED4A93DF}">
          <xm:f>'3.2 (B)'!1:1048576</xm:f>
        </x15:webExtension>
        <x15:webExtension appRef="{B47AE19B-DC9F-49D7-9790-EA4131921716}">
          <xm:f>'3.2 (B)'!1:1048576</xm:f>
        </x15:webExtension>
        <x15:webExtension appRef="{EC9E939B-9CE2-458F-8E7D-195F9E6138FE}">
          <xm:f>'3.2 (B)'!XFD1048550:XFD1048575</xm:f>
        </x15:webExtension>
        <x15:webExtension appRef="{5B1C54CC-D49B-4265-9264-EFEFF12A1231}">
          <xm:f>'3.2 (B)'!1:1048576</xm:f>
        </x15:webExtension>
        <x15:webExtension appRef="{09C5969D-E980-4A4F-A23E-18DADFAC18D3}">
          <xm:f>'3.2 (B)'!XFD1048550:XFD1048575</xm:f>
        </x15:webExtension>
        <x15:webExtension appRef="{0BDDE78E-34DB-4B36-9C59-F3C3DD395FD0}">
          <xm:f>'3.2 (B)'!$L$2</xm:f>
        </x15:webExtension>
        <x15:webExtension appRef="{83DA7837-B4E8-438B-9579-87CE44479532}">
          <xm:f>'3.2 (B)'!1:1048576</xm:f>
        </x15:webExtension>
        <x15:webExtension appRef="{4674A042-2837-4560-95D6-B83A6AB2FC90}">
          <xm:f>'3.2 (B)'!1:1048576</xm:f>
        </x15:webExtension>
        <x15:webExtension appRef="{9D9D27AA-F02D-4EAB-AE15-BCAA4377C174}">
          <xm:f>'3.2 (B)'!XFD1048550:XFD1048575</xm:f>
        </x15:webExtension>
        <x15:webExtension appRef="{4674A042-2837-4560-95D6-B83A6AB2FC90}">
          <xm:f>'3.2 (B)'!1:1048576</xm:f>
        </x15:webExtension>
        <x15:webExtension appRef="{9D9D27AA-F02D-4EAB-AE15-BCAA4377C174}">
          <xm:f>'3.2 (B)'!XFD1048550:XFD1048575</xm:f>
        </x15:webExtension>
        <x15:webExtension appRef="{4674A042-2837-4560-95D6-B83A6AB2FC90}">
          <xm:f>'3.2 (B)'!1:1048576</xm:f>
        </x15:webExtension>
        <x15:webExtension appRef="{9D9D27AA-F02D-4EAB-AE15-BCAA4377C174}">
          <xm:f>'3.2 (B)'!XFD1048550:XFD1048575</xm:f>
        </x15:webExtension>
        <x15:webExtension appRef="{4674A042-2837-4560-95D6-B83A6AB2FC90}">
          <xm:f>'3.2 (B)'!1:1048576</xm:f>
        </x15:webExtension>
        <x15:webExtension appRef="{9D9D27AA-F02D-4EAB-AE15-BCAA4377C174}">
          <xm:f>'3.2 (B)'!XFD1048550:XFD1048575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23F1-7E80-4AF5-98D3-1DBF12866A41}">
  <dimension ref="A1:H21"/>
  <sheetViews>
    <sheetView workbookViewId="0">
      <selection activeCell="K7" sqref="K7"/>
    </sheetView>
  </sheetViews>
  <sheetFormatPr defaultRowHeight="15"/>
  <cols>
    <col min="2" max="2" width="12.5703125" customWidth="1"/>
    <col min="6" max="6" width="14.85546875" bestFit="1" customWidth="1"/>
    <col min="7" max="7" width="18.140625" customWidth="1"/>
  </cols>
  <sheetData>
    <row r="1" spans="1:8">
      <c r="B1" t="s">
        <v>18</v>
      </c>
      <c r="F1" s="12" t="s">
        <v>19</v>
      </c>
      <c r="G1" s="12"/>
    </row>
    <row r="2" spans="1:8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16</v>
      </c>
    </row>
    <row r="3" spans="1:8">
      <c r="A3" t="s">
        <v>27</v>
      </c>
      <c r="C3" t="s">
        <v>28</v>
      </c>
      <c r="D3" t="s">
        <v>29</v>
      </c>
      <c r="F3" t="s">
        <v>29</v>
      </c>
      <c r="G3" t="s">
        <v>29</v>
      </c>
    </row>
    <row r="4" spans="1:8">
      <c r="A4">
        <v>0</v>
      </c>
      <c r="B4">
        <v>0</v>
      </c>
      <c r="C4">
        <v>9.11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6.67</v>
      </c>
      <c r="B5">
        <v>5.0000000000000001E-4</v>
      </c>
      <c r="D5">
        <v>102.3</v>
      </c>
      <c r="E5">
        <v>5.0000000000000001E-4</v>
      </c>
      <c r="F5">
        <v>102.3</v>
      </c>
      <c r="G5">
        <v>102.3</v>
      </c>
      <c r="H5">
        <v>0</v>
      </c>
    </row>
    <row r="6" spans="1:8">
      <c r="A6">
        <v>13.34</v>
      </c>
      <c r="B6">
        <v>1.0200000000000001E-3</v>
      </c>
      <c r="D6">
        <v>204.7</v>
      </c>
      <c r="E6">
        <v>1.0200000000000001E-3</v>
      </c>
      <c r="F6">
        <v>204.7</v>
      </c>
      <c r="G6">
        <v>204.7</v>
      </c>
      <c r="H6">
        <v>0</v>
      </c>
    </row>
    <row r="7" spans="1:8">
      <c r="A7">
        <v>19.13</v>
      </c>
      <c r="B7">
        <v>1.4599999999999999E-3</v>
      </c>
      <c r="D7">
        <v>293.5</v>
      </c>
      <c r="E7">
        <v>1.4599999999999999E-3</v>
      </c>
      <c r="F7">
        <v>293.5</v>
      </c>
      <c r="G7">
        <v>293.5</v>
      </c>
      <c r="H7">
        <v>0</v>
      </c>
    </row>
    <row r="8" spans="1:8">
      <c r="A8">
        <v>17.79</v>
      </c>
      <c r="B8">
        <v>2.3E-3</v>
      </c>
      <c r="D8">
        <v>272.89999999999998</v>
      </c>
      <c r="E8">
        <v>2.3E-3</v>
      </c>
      <c r="F8">
        <v>272.89999999999998</v>
      </c>
      <c r="G8">
        <v>272.89999999999998</v>
      </c>
      <c r="H8">
        <v>0</v>
      </c>
    </row>
    <row r="9" spans="1:8">
      <c r="A9">
        <v>17.21</v>
      </c>
      <c r="B9">
        <v>3.0999999999999999E-3</v>
      </c>
      <c r="D9">
        <v>264</v>
      </c>
      <c r="E9">
        <v>3.0999999999999999E-3</v>
      </c>
      <c r="F9">
        <v>264</v>
      </c>
      <c r="G9">
        <v>264</v>
      </c>
      <c r="H9">
        <v>1.7799999999999999E-3</v>
      </c>
    </row>
    <row r="10" spans="1:8">
      <c r="A10">
        <v>17.53</v>
      </c>
      <c r="B10">
        <v>5.0000000000000001E-3</v>
      </c>
      <c r="D10">
        <v>268.89999999999998</v>
      </c>
      <c r="E10">
        <v>4.9899999999999996E-3</v>
      </c>
      <c r="F10">
        <v>268.89999999999998</v>
      </c>
      <c r="G10">
        <v>268.89999999999998</v>
      </c>
      <c r="H10">
        <v>3.65E-3</v>
      </c>
    </row>
    <row r="11" spans="1:8">
      <c r="A11">
        <v>17.440000000000001</v>
      </c>
      <c r="B11">
        <v>7.0000000000000001E-3</v>
      </c>
      <c r="D11">
        <v>267.60000000000002</v>
      </c>
      <c r="E11">
        <v>6.9800000000000001E-3</v>
      </c>
      <c r="F11">
        <v>269.39999999999998</v>
      </c>
      <c r="G11">
        <v>269.39999999999998</v>
      </c>
      <c r="H11">
        <v>5.64E-3</v>
      </c>
    </row>
    <row r="12" spans="1:8">
      <c r="A12">
        <v>17.21</v>
      </c>
      <c r="B12">
        <v>0.01</v>
      </c>
      <c r="D12">
        <v>264</v>
      </c>
      <c r="E12">
        <v>9.9500000000000005E-3</v>
      </c>
      <c r="F12">
        <v>266.7</v>
      </c>
      <c r="G12">
        <v>266.7</v>
      </c>
      <c r="H12">
        <v>8.6199999999999992E-3</v>
      </c>
    </row>
    <row r="13" spans="1:8">
      <c r="A13">
        <v>20.77</v>
      </c>
      <c r="B13">
        <v>4.9000000000000002E-2</v>
      </c>
      <c r="C13">
        <v>8.8940000000000001</v>
      </c>
      <c r="D13">
        <v>318.60000000000002</v>
      </c>
      <c r="E13">
        <v>4.7800000000000002E-2</v>
      </c>
      <c r="F13">
        <v>334.3</v>
      </c>
      <c r="G13">
        <v>334.3</v>
      </c>
      <c r="H13">
        <v>4.6199999999999998E-2</v>
      </c>
    </row>
    <row r="14" spans="1:8">
      <c r="A14">
        <v>24.25</v>
      </c>
      <c r="B14">
        <v>0.125</v>
      </c>
      <c r="D14">
        <v>372</v>
      </c>
      <c r="E14">
        <v>0.1178</v>
      </c>
      <c r="F14">
        <v>418.5</v>
      </c>
      <c r="G14">
        <v>418.5</v>
      </c>
      <c r="H14" t="s">
        <v>30</v>
      </c>
    </row>
    <row r="15" spans="1:8">
      <c r="A15">
        <v>25.71</v>
      </c>
      <c r="B15">
        <v>0.218</v>
      </c>
      <c r="C15">
        <v>8.2639999999999993</v>
      </c>
      <c r="D15">
        <v>394.4</v>
      </c>
      <c r="E15">
        <v>0.19719999999999999</v>
      </c>
      <c r="F15">
        <v>480.4</v>
      </c>
      <c r="G15">
        <v>480.4</v>
      </c>
      <c r="H15">
        <v>0.1948</v>
      </c>
    </row>
    <row r="16" spans="1:8">
      <c r="A16">
        <v>25.751000000000001</v>
      </c>
      <c r="B16">
        <v>0.23400000000000001</v>
      </c>
      <c r="D16">
        <v>395</v>
      </c>
      <c r="E16">
        <v>0.21029999999999999</v>
      </c>
      <c r="F16">
        <v>487.5</v>
      </c>
      <c r="G16">
        <v>487.5</v>
      </c>
      <c r="H16">
        <v>0.20780000000000001</v>
      </c>
    </row>
    <row r="17" spans="1:8">
      <c r="A17">
        <v>25.04</v>
      </c>
      <c r="B17">
        <v>0.30599999999999999</v>
      </c>
      <c r="C17">
        <v>7.62</v>
      </c>
      <c r="D17">
        <v>384.2</v>
      </c>
      <c r="E17">
        <v>0.35720000000000002</v>
      </c>
      <c r="F17">
        <v>549.1</v>
      </c>
      <c r="G17">
        <v>542.9</v>
      </c>
      <c r="H17">
        <v>0.35449999999999998</v>
      </c>
    </row>
    <row r="18" spans="1:8">
      <c r="A18">
        <v>23.49</v>
      </c>
      <c r="B18">
        <v>0.33</v>
      </c>
      <c r="C18">
        <v>6.99</v>
      </c>
      <c r="D18">
        <v>360.4</v>
      </c>
      <c r="E18">
        <v>0.52980000000000005</v>
      </c>
      <c r="F18">
        <v>612.1</v>
      </c>
      <c r="G18">
        <v>585.5</v>
      </c>
      <c r="H18">
        <v>0.52690000000000003</v>
      </c>
    </row>
    <row r="19" spans="1:8">
      <c r="A19">
        <v>21.35</v>
      </c>
      <c r="B19">
        <v>0.34799999999999998</v>
      </c>
      <c r="C19">
        <v>6.35</v>
      </c>
      <c r="D19">
        <v>327.5</v>
      </c>
      <c r="E19">
        <v>0.7218</v>
      </c>
      <c r="F19">
        <v>674.2</v>
      </c>
      <c r="G19">
        <v>614.6</v>
      </c>
      <c r="H19">
        <v>0.71879999999999999</v>
      </c>
    </row>
    <row r="20" spans="1:8">
      <c r="A20">
        <v>18.899999999999999</v>
      </c>
      <c r="B20">
        <v>0.36</v>
      </c>
      <c r="C20">
        <v>5.72</v>
      </c>
      <c r="D20">
        <v>290</v>
      </c>
      <c r="E20">
        <v>0.93079999999999996</v>
      </c>
      <c r="F20">
        <v>735.5</v>
      </c>
      <c r="G20">
        <v>636.20000000000005</v>
      </c>
      <c r="H20">
        <v>0.92759999999999998</v>
      </c>
    </row>
    <row r="21" spans="1:8">
      <c r="A21">
        <v>17.391999999999999</v>
      </c>
      <c r="B21">
        <v>0.36599999999999999</v>
      </c>
      <c r="C21">
        <v>5.2830000000000004</v>
      </c>
      <c r="D21">
        <v>266.8</v>
      </c>
      <c r="E21">
        <v>1.0909</v>
      </c>
      <c r="F21">
        <v>794.2</v>
      </c>
      <c r="G21">
        <v>663.1</v>
      </c>
      <c r="H21">
        <v>1.0875999999999999</v>
      </c>
    </row>
  </sheetData>
  <mergeCells count="1">
    <mergeCell ref="F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4D87-1B21-41FF-A1FF-61EAB998CF7E}">
  <dimension ref="A1:O13"/>
  <sheetViews>
    <sheetView tabSelected="1" topLeftCell="A5" workbookViewId="0">
      <selection activeCell="Q8" sqref="Q8"/>
    </sheetView>
  </sheetViews>
  <sheetFormatPr defaultRowHeight="15"/>
  <cols>
    <col min="1" max="1" width="24" style="3" customWidth="1"/>
    <col min="2" max="2" width="15.42578125" customWidth="1"/>
    <col min="3" max="3" width="12.42578125" customWidth="1"/>
    <col min="4" max="4" width="10.140625" customWidth="1"/>
    <col min="6" max="6" width="10.42578125" customWidth="1"/>
    <col min="7" max="7" width="11.140625" customWidth="1"/>
    <col min="8" max="8" width="11" customWidth="1"/>
  </cols>
  <sheetData>
    <row r="1" spans="1:15">
      <c r="C1" s="12" t="s">
        <v>31</v>
      </c>
      <c r="D1" s="12"/>
      <c r="G1" s="12" t="s">
        <v>19</v>
      </c>
      <c r="H1" s="12"/>
    </row>
    <row r="2" spans="1:15">
      <c r="G2" s="12" t="s">
        <v>32</v>
      </c>
      <c r="H2" s="12"/>
    </row>
    <row r="3" spans="1:15" ht="15" customHeight="1">
      <c r="B3" t="s">
        <v>33</v>
      </c>
      <c r="C3" t="s">
        <v>34</v>
      </c>
      <c r="D3" t="s">
        <v>35</v>
      </c>
      <c r="E3" t="s">
        <v>36</v>
      </c>
      <c r="F3" s="11" t="s">
        <v>37</v>
      </c>
      <c r="G3" t="s">
        <v>38</v>
      </c>
      <c r="H3" s="11" t="s">
        <v>39</v>
      </c>
      <c r="I3" t="s">
        <v>40</v>
      </c>
    </row>
    <row r="4" spans="1:15">
      <c r="F4" s="11"/>
      <c r="H4" s="11"/>
    </row>
    <row r="5" spans="1:15">
      <c r="A5" s="3" t="s">
        <v>41</v>
      </c>
      <c r="B5" t="s">
        <v>42</v>
      </c>
      <c r="C5" t="s">
        <v>29</v>
      </c>
      <c r="D5" t="s">
        <v>43</v>
      </c>
      <c r="E5" t="s">
        <v>44</v>
      </c>
      <c r="F5" s="11"/>
      <c r="G5" t="s">
        <v>45</v>
      </c>
      <c r="H5" s="11"/>
      <c r="I5" t="s">
        <v>45</v>
      </c>
    </row>
    <row r="6" spans="1:15" ht="29.25">
      <c r="A6" s="3" t="s">
        <v>46</v>
      </c>
      <c r="B6">
        <v>203</v>
      </c>
      <c r="C6">
        <v>260</v>
      </c>
      <c r="D6">
        <v>7.9</v>
      </c>
      <c r="E6">
        <v>1</v>
      </c>
      <c r="F6" s="5">
        <f>D6/(B6^0.5)</f>
        <v>0.55447130101144126</v>
      </c>
      <c r="G6">
        <v>7</v>
      </c>
      <c r="H6" s="5">
        <f>F6*E6</f>
        <v>0.55447130101144126</v>
      </c>
      <c r="I6">
        <v>2</v>
      </c>
      <c r="K6" s="10" t="s">
        <v>47</v>
      </c>
      <c r="L6" s="10"/>
      <c r="M6" s="10"/>
    </row>
    <row r="7" spans="1:15" ht="29.25">
      <c r="A7" s="3" t="s">
        <v>48</v>
      </c>
      <c r="B7">
        <v>207</v>
      </c>
      <c r="C7">
        <v>1103</v>
      </c>
      <c r="D7">
        <v>7.9</v>
      </c>
      <c r="E7">
        <v>3</v>
      </c>
      <c r="F7" s="5">
        <f t="shared" ref="F7:F13" si="0">D7/(B7^0.5)</f>
        <v>0.54908795701696356</v>
      </c>
      <c r="G7">
        <v>6</v>
      </c>
      <c r="H7" s="5">
        <f t="shared" ref="H7:H13" si="1">F7*E7</f>
        <v>1.6472638710508907</v>
      </c>
      <c r="I7">
        <v>3</v>
      </c>
    </row>
    <row r="8" spans="1:15" ht="29.25">
      <c r="A8" s="3" t="s">
        <v>49</v>
      </c>
      <c r="B8">
        <v>71</v>
      </c>
      <c r="C8">
        <v>469</v>
      </c>
      <c r="D8">
        <v>2.7</v>
      </c>
      <c r="E8">
        <v>6</v>
      </c>
      <c r="F8" s="5">
        <f t="shared" si="0"/>
        <v>0.32043104771234038</v>
      </c>
      <c r="G8">
        <v>3</v>
      </c>
      <c r="H8" s="5">
        <f t="shared" si="1"/>
        <v>1.9225862862740422</v>
      </c>
      <c r="I8">
        <v>4</v>
      </c>
      <c r="K8" s="9" t="s">
        <v>50</v>
      </c>
      <c r="L8" s="9"/>
      <c r="M8" s="9"/>
    </row>
    <row r="9" spans="1:15" ht="29.25">
      <c r="A9" s="3" t="s">
        <v>51</v>
      </c>
      <c r="B9">
        <v>117</v>
      </c>
      <c r="C9">
        <v>1185</v>
      </c>
      <c r="D9">
        <v>4.5</v>
      </c>
      <c r="E9">
        <v>45</v>
      </c>
      <c r="F9" s="5">
        <f t="shared" si="0"/>
        <v>0.41602514716892181</v>
      </c>
      <c r="G9">
        <v>4</v>
      </c>
      <c r="H9" s="5">
        <f t="shared" si="1"/>
        <v>18.721131622601483</v>
      </c>
      <c r="I9">
        <v>7</v>
      </c>
    </row>
    <row r="10" spans="1:15" ht="43.5">
      <c r="A10" s="3" t="s">
        <v>52</v>
      </c>
      <c r="B10">
        <v>2.4</v>
      </c>
      <c r="C10">
        <v>62</v>
      </c>
      <c r="D10">
        <v>1.2</v>
      </c>
      <c r="E10">
        <v>5</v>
      </c>
      <c r="F10" s="5">
        <f>D10/(B10^0.5)</f>
        <v>0.77459666924148329</v>
      </c>
      <c r="G10">
        <v>8</v>
      </c>
      <c r="H10" s="5">
        <f>F10*E10</f>
        <v>3.8729833462074166</v>
      </c>
      <c r="I10">
        <v>5</v>
      </c>
    </row>
    <row r="11" spans="1:15" ht="29.25" customHeight="1">
      <c r="A11" s="3" t="s">
        <v>53</v>
      </c>
      <c r="B11">
        <v>12.3</v>
      </c>
      <c r="C11">
        <v>88</v>
      </c>
      <c r="D11">
        <v>0.51</v>
      </c>
      <c r="E11">
        <v>1.5</v>
      </c>
      <c r="F11" s="5">
        <f t="shared" si="0"/>
        <v>0.14541781687061126</v>
      </c>
      <c r="G11">
        <v>1</v>
      </c>
      <c r="H11" s="5">
        <f t="shared" si="1"/>
        <v>0.21812672530591687</v>
      </c>
      <c r="I11">
        <v>1</v>
      </c>
      <c r="K11" s="8" t="s">
        <v>54</v>
      </c>
      <c r="L11" s="8"/>
      <c r="M11" s="8"/>
      <c r="N11" s="8"/>
      <c r="O11" s="8"/>
    </row>
    <row r="12" spans="1:15" ht="29.25">
      <c r="A12" s="3" t="s">
        <v>55</v>
      </c>
      <c r="B12">
        <v>21</v>
      </c>
      <c r="C12">
        <v>380</v>
      </c>
      <c r="D12">
        <v>2</v>
      </c>
      <c r="E12">
        <v>10</v>
      </c>
      <c r="F12" s="5">
        <f t="shared" si="0"/>
        <v>0.43643578047198478</v>
      </c>
      <c r="G12">
        <v>5</v>
      </c>
      <c r="H12" s="5">
        <f t="shared" si="1"/>
        <v>4.3643578047198481</v>
      </c>
      <c r="I12">
        <v>6</v>
      </c>
    </row>
    <row r="13" spans="1:15" ht="29.25">
      <c r="A13" s="3" t="s">
        <v>56</v>
      </c>
      <c r="B13">
        <v>76</v>
      </c>
      <c r="C13">
        <v>930</v>
      </c>
      <c r="D13">
        <v>1.6</v>
      </c>
      <c r="E13">
        <v>200</v>
      </c>
      <c r="F13" s="5">
        <f t="shared" si="0"/>
        <v>0.1835325870964494</v>
      </c>
      <c r="G13">
        <v>2</v>
      </c>
      <c r="H13" s="5">
        <f t="shared" si="1"/>
        <v>36.706517419289881</v>
      </c>
      <c r="I13">
        <v>8</v>
      </c>
    </row>
  </sheetData>
  <mergeCells count="8">
    <mergeCell ref="K11:O11"/>
    <mergeCell ref="K8:M8"/>
    <mergeCell ref="K6:M6"/>
    <mergeCell ref="C1:D1"/>
    <mergeCell ref="G1:H1"/>
    <mergeCell ref="G2:H2"/>
    <mergeCell ref="H3:H5"/>
    <mergeCell ref="F3:F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A1DD-E8B6-4D17-95BF-D2CE02F15506}">
  <dimension ref="A1:Q13"/>
  <sheetViews>
    <sheetView workbookViewId="0">
      <selection activeCell="N10" sqref="N10"/>
    </sheetView>
  </sheetViews>
  <sheetFormatPr defaultRowHeight="15"/>
  <cols>
    <col min="1" max="1" width="24" style="3" customWidth="1"/>
    <col min="2" max="2" width="15.42578125" customWidth="1"/>
    <col min="3" max="3" width="12.42578125" customWidth="1"/>
    <col min="4" max="4" width="10.140625" customWidth="1"/>
    <col min="6" max="7" width="16.42578125" customWidth="1"/>
    <col min="8" max="8" width="15.7109375" customWidth="1"/>
    <col min="9" max="9" width="11.140625" customWidth="1"/>
    <col min="10" max="10" width="11" customWidth="1"/>
  </cols>
  <sheetData>
    <row r="1" spans="1:17" ht="15" customHeight="1">
      <c r="C1" s="12" t="s">
        <v>31</v>
      </c>
      <c r="D1" s="12"/>
      <c r="I1" s="12" t="s">
        <v>19</v>
      </c>
      <c r="J1" s="12"/>
    </row>
    <row r="2" spans="1:17">
      <c r="F2" s="11" t="s">
        <v>57</v>
      </c>
      <c r="G2" s="4"/>
      <c r="H2" s="11" t="s">
        <v>58</v>
      </c>
      <c r="I2" s="12" t="s">
        <v>32</v>
      </c>
      <c r="J2" s="12"/>
    </row>
    <row r="3" spans="1:17">
      <c r="B3" t="s">
        <v>33</v>
      </c>
      <c r="C3" t="s">
        <v>34</v>
      </c>
      <c r="D3" t="s">
        <v>35</v>
      </c>
      <c r="E3" t="s">
        <v>36</v>
      </c>
      <c r="F3" s="11"/>
      <c r="G3" s="4"/>
      <c r="H3" s="11"/>
      <c r="I3" t="s">
        <v>38</v>
      </c>
      <c r="J3" s="11" t="s">
        <v>39</v>
      </c>
      <c r="K3" t="s">
        <v>40</v>
      </c>
      <c r="L3" s="11"/>
    </row>
    <row r="4" spans="1:17">
      <c r="F4" s="11"/>
      <c r="G4" s="4"/>
      <c r="H4" s="11"/>
      <c r="J4" s="11"/>
      <c r="L4" s="11"/>
    </row>
    <row r="5" spans="1:17">
      <c r="A5" s="3" t="s">
        <v>41</v>
      </c>
      <c r="B5" t="s">
        <v>42</v>
      </c>
      <c r="C5" t="s">
        <v>29</v>
      </c>
      <c r="D5" t="s">
        <v>43</v>
      </c>
      <c r="E5" t="s">
        <v>44</v>
      </c>
      <c r="F5" s="11"/>
      <c r="G5" s="4" t="s">
        <v>45</v>
      </c>
      <c r="H5" s="11"/>
      <c r="I5" t="s">
        <v>45</v>
      </c>
      <c r="J5" s="11"/>
      <c r="K5" t="s">
        <v>45</v>
      </c>
      <c r="L5" s="11"/>
    </row>
    <row r="6" spans="1:17" ht="29.25">
      <c r="A6" s="3" t="s">
        <v>46</v>
      </c>
      <c r="B6">
        <v>203</v>
      </c>
      <c r="C6">
        <v>260</v>
      </c>
      <c r="D6">
        <v>7.9</v>
      </c>
      <c r="E6">
        <v>1</v>
      </c>
      <c r="F6" s="5">
        <f>D6/(C6^(2/3))</f>
        <v>0.19392993831151262</v>
      </c>
      <c r="G6" s="6">
        <v>8</v>
      </c>
      <c r="H6" s="5">
        <f>D6/(B6^0.5)</f>
        <v>0.55447130101144126</v>
      </c>
      <c r="I6">
        <v>7</v>
      </c>
      <c r="J6" s="5">
        <f>H6*E6</f>
        <v>0.55447130101144126</v>
      </c>
      <c r="K6">
        <v>2</v>
      </c>
    </row>
    <row r="7" spans="1:17" ht="29.25">
      <c r="A7" s="3" t="s">
        <v>48</v>
      </c>
      <c r="B7">
        <v>207</v>
      </c>
      <c r="C7">
        <v>1103</v>
      </c>
      <c r="D7">
        <v>7.9</v>
      </c>
      <c r="E7">
        <v>3</v>
      </c>
      <c r="F7" s="5">
        <f t="shared" ref="F7:F13" si="0">D7/(C7^(2/3))</f>
        <v>7.4001993025568716E-2</v>
      </c>
      <c r="G7" s="6">
        <v>6</v>
      </c>
      <c r="H7" s="5">
        <f t="shared" ref="H7:H13" si="1">D7/(B7^0.5)</f>
        <v>0.54908795701696356</v>
      </c>
      <c r="I7">
        <v>6</v>
      </c>
      <c r="J7" s="5">
        <f t="shared" ref="J7:J13" si="2">H7*E7</f>
        <v>1.6472638710508907</v>
      </c>
      <c r="K7">
        <v>3</v>
      </c>
    </row>
    <row r="8" spans="1:17" ht="29.25">
      <c r="A8" s="3" t="s">
        <v>49</v>
      </c>
      <c r="B8">
        <v>71</v>
      </c>
      <c r="C8">
        <v>469</v>
      </c>
      <c r="D8">
        <v>2.7</v>
      </c>
      <c r="E8">
        <v>6</v>
      </c>
      <c r="F8" s="5">
        <f t="shared" si="0"/>
        <v>4.4728246122634922E-2</v>
      </c>
      <c r="G8" s="6">
        <v>5</v>
      </c>
      <c r="H8" s="5">
        <f t="shared" si="1"/>
        <v>0.32043104771234038</v>
      </c>
      <c r="I8">
        <v>3</v>
      </c>
      <c r="J8" s="5">
        <f t="shared" si="2"/>
        <v>1.9225862862740422</v>
      </c>
      <c r="K8">
        <v>4</v>
      </c>
    </row>
    <row r="9" spans="1:17" ht="29.25">
      <c r="A9" s="3" t="s">
        <v>51</v>
      </c>
      <c r="B9">
        <v>117</v>
      </c>
      <c r="C9">
        <v>1185</v>
      </c>
      <c r="D9">
        <v>4.5</v>
      </c>
      <c r="E9">
        <v>45</v>
      </c>
      <c r="F9" s="5">
        <f t="shared" si="0"/>
        <v>4.0185275203129173E-2</v>
      </c>
      <c r="G9" s="6">
        <v>4</v>
      </c>
      <c r="H9" s="5">
        <f t="shared" si="1"/>
        <v>0.41602514716892181</v>
      </c>
      <c r="I9">
        <v>4</v>
      </c>
      <c r="J9" s="5">
        <f t="shared" si="2"/>
        <v>18.721131622601483</v>
      </c>
      <c r="K9">
        <v>7</v>
      </c>
    </row>
    <row r="10" spans="1:17" ht="32.25" customHeight="1">
      <c r="A10" s="3" t="s">
        <v>52</v>
      </c>
      <c r="B10">
        <v>2.4</v>
      </c>
      <c r="C10">
        <v>62</v>
      </c>
      <c r="D10">
        <v>1.2</v>
      </c>
      <c r="E10">
        <v>5</v>
      </c>
      <c r="F10" s="5">
        <f t="shared" si="0"/>
        <v>7.6604353735749781E-2</v>
      </c>
      <c r="G10" s="6">
        <v>7</v>
      </c>
      <c r="H10" s="5">
        <f>D10/(B10^0.5)</f>
        <v>0.77459666924148329</v>
      </c>
      <c r="I10">
        <v>8</v>
      </c>
      <c r="J10" s="5">
        <f>H10*E10</f>
        <v>3.8729833462074166</v>
      </c>
      <c r="K10">
        <v>5</v>
      </c>
    </row>
    <row r="11" spans="1:17" ht="29.25" customHeight="1">
      <c r="A11" s="3" t="s">
        <v>53</v>
      </c>
      <c r="B11">
        <v>12.3</v>
      </c>
      <c r="C11">
        <v>88</v>
      </c>
      <c r="D11">
        <v>0.51</v>
      </c>
      <c r="E11">
        <v>1.5</v>
      </c>
      <c r="F11" s="5">
        <f t="shared" si="0"/>
        <v>2.5777951049780708E-2</v>
      </c>
      <c r="G11" s="6">
        <v>2</v>
      </c>
      <c r="H11" s="5">
        <f t="shared" si="1"/>
        <v>0.14541781687061126</v>
      </c>
      <c r="I11">
        <v>1</v>
      </c>
      <c r="J11" s="5">
        <f t="shared" si="2"/>
        <v>0.21812672530591687</v>
      </c>
      <c r="K11">
        <v>1</v>
      </c>
      <c r="M11" s="8"/>
      <c r="N11" s="8"/>
      <c r="O11" s="8"/>
      <c r="P11" s="8"/>
      <c r="Q11" s="8"/>
    </row>
    <row r="12" spans="1:17" ht="29.25">
      <c r="A12" s="3" t="s">
        <v>55</v>
      </c>
      <c r="B12">
        <v>21</v>
      </c>
      <c r="C12">
        <v>380</v>
      </c>
      <c r="D12">
        <v>2</v>
      </c>
      <c r="E12">
        <v>10</v>
      </c>
      <c r="F12" s="5">
        <f t="shared" si="0"/>
        <v>3.8121876018114433E-2</v>
      </c>
      <c r="G12" s="6">
        <v>3</v>
      </c>
      <c r="H12" s="5">
        <f t="shared" si="1"/>
        <v>0.43643578047198478</v>
      </c>
      <c r="I12">
        <v>5</v>
      </c>
      <c r="J12" s="5">
        <f t="shared" si="2"/>
        <v>4.3643578047198481</v>
      </c>
      <c r="K12">
        <v>6</v>
      </c>
    </row>
    <row r="13" spans="1:17" ht="29.25">
      <c r="A13" s="3" t="s">
        <v>56</v>
      </c>
      <c r="B13">
        <v>76</v>
      </c>
      <c r="C13">
        <v>930</v>
      </c>
      <c r="D13">
        <v>1.6</v>
      </c>
      <c r="E13">
        <v>200</v>
      </c>
      <c r="F13" s="5">
        <f t="shared" si="0"/>
        <v>1.6793118411501221E-2</v>
      </c>
      <c r="G13" s="6">
        <v>1</v>
      </c>
      <c r="H13" s="5">
        <f t="shared" si="1"/>
        <v>0.1835325870964494</v>
      </c>
      <c r="I13">
        <v>2</v>
      </c>
      <c r="J13" s="5">
        <f t="shared" si="2"/>
        <v>36.706517419289881</v>
      </c>
      <c r="K13">
        <v>8</v>
      </c>
    </row>
  </sheetData>
  <mergeCells count="8">
    <mergeCell ref="M11:Q11"/>
    <mergeCell ref="L3:L5"/>
    <mergeCell ref="H2:H5"/>
    <mergeCell ref="F2:F5"/>
    <mergeCell ref="C1:D1"/>
    <mergeCell ref="I1:J1"/>
    <mergeCell ref="I2:J2"/>
    <mergeCell ref="J3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2025-02-23T04:12:24Z</dcterms:created>
  <dcterms:modified xsi:type="dcterms:W3CDTF">2025-03-03T18:01:55Z</dcterms:modified>
  <cp:category/>
  <cp:contentStatus/>
</cp:coreProperties>
</file>