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J12" i="37" s="1"/>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c r="O52" i="37" s="1"/>
  <c r="P52" i="37" s="1"/>
  <c r="F83" i="37"/>
  <c r="E83" i="37"/>
  <c r="B84" i="37"/>
  <c r="D83" i="37"/>
  <c r="C83" i="37"/>
  <c r="Q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Z70" i="37" s="1"/>
  <c r="I89" i="37"/>
  <c r="G89" i="37"/>
  <c r="K89" i="37"/>
  <c r="AA70" i="37" l="1"/>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<sst xmlns="http://schemas.openxmlformats.org/spreadsheetml/2006/main" count="6673" uniqueCount="4044">
  <si>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</si>
  <si>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</si>
  <si>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</si>
  <si>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</si>
  <si>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</si>
  <si>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</si>
  <si>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</si>
  <si>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</si>
  <si>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</si>
  <si>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</si>
  <si>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</si>
  <si>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</si>
  <si>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</si>
  <si>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</si>
  <si>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</si>
  <si>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</si>
  <si>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</si>
  <si>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</si>
  <si>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</si>
  <si>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</si>
  <si>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</si>
  <si>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</si>
  <si>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</si>
  <si>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</si>
  <si>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</si>
  <si>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</si>
  <si>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</si>
  <si>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</si>
  <si>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</si>
  <si>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</si>
  <si>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</si>
  <si>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</si>
  <si>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</si>
  <si>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</si>
  <si>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</si>
  <si>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</si>
  <si>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</si>
  <si>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</si>
  <si>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</si>
  <si>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</si>
  <si>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</si>
  <si>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</si>
  <si>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</si>
  <si>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</si>
  <si>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</si>
  <si>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</si>
  <si>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</si>
  <si>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</si>
  <si>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</si>
  <si>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</si>
  <si>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</si>
  <si>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</si>
  <si>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</si>
  <si>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</si>
  <si>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</si>
  <si>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</si>
  <si>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</si>
  <si>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</si>
  <si>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</si>
  <si>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</si>
  <si>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</si>
  <si>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</si>
  <si>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</si>
  <si>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</si>
  <si>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</si>
  <si>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</si>
  <si>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</si>
  <si>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</si>
  <si>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</si>
  <si>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</si>
  <si>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</si>
  <si>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</si>
  <si>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</si>
  <si>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</si>
  <si>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</si>
  <si>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</si>
  <si>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</si>
  <si>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</si>
  <si>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</si>
  <si>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</si>
  <si>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</si>
  <si>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</si>
  <si>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</si>
  <si>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</si>
  <si>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</si>
  <si>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</si>
  <si>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</si>
  <si>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</si>
  <si>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</si>
  <si>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</si>
  <si>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</si>
  <si>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</si>
  <si>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</si>
  <si>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</si>
  <si>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</si>
  <si>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</si>
  <si>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</si>
  <si>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</si>
  <si>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</si>
  <si>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</si>
  <si>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</si>
  <si>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</si>
  <si>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</si>
  <si>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</si>
  <si>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</si>
  <si>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</si>
  <si>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</si>
  <si>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</si>
  <si>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</si>
  <si>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</si>
  <si>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</si>
  <si>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</si>
  <si>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</si>
  <si>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</si>
  <si>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</si>
  <si>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</si>
  <si>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</si>
  <si>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</si>
  <si>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</si>
  <si>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</si>
  <si>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</si>
  <si>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</si>
  <si>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</si>
  <si>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</si>
  <si>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</si>
  <si>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</si>
  <si>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</si>
  <si>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</si>
  <si>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</si>
  <si>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</si>
  <si>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</si>
  <si>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</si>
  <si>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</si>
  <si>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</si>
  <si>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</si>
  <si>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</si>
  <si>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</si>
  <si>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</si>
  <si>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</si>
  <si>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</si>
  <si>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</si>
  <si>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</si>
  <si>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</si>
  <si>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</si>
  <si>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</si>
  <si>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</si>
  <si>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</si>
  <si>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</si>
  <si>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</si>
  <si>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</si>
  <si>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</si>
  <si>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</si>
  <si>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</si>
  <si>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</si>
  <si>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</si>
  <si>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</si>
  <si>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</si>
  <si>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</si>
  <si>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</si>
  <si>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</si>
  <si>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</si>
  <si>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</si>
  <si>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</si>
  <si>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</si>
  <si>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</si>
  <si>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</si>
  <si>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</si>
  <si>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</si>
  <si>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</si>
  <si>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</si>
  <si>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</si>
  <si>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</si>
  <si>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</si>
  <si>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</si>
  <si>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</si>
  <si>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</si>
  <si>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</si>
  <si>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</si>
  <si>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</si>
  <si>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</si>
  <si>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</si>
  <si>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</si>
  <si>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</si>
  <si>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</si>
  <si>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</si>
  <si>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</si>
  <si>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</si>
  <si>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</si>
  <si>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</si>
  <si>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</si>
  <si>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</si>
  <si>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</si>
  <si>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</si>
  <si>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</si>
  <si>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</si>
  <si>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</si>
  <si>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</si>
  <si>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</si>
  <si>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</si>
  <si>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</si>
  <si>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</si>
  <si>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</si>
  <si>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</si>
  <si>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</si>
  <si>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</si>
  <si>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</si>
  <si>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</si>
  <si>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</si>
  <si>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</si>
  <si>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</si>
  <si>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</si>
  <si>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</si>
  <si>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</si>
  <si>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</si>
  <si>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</si>
  <si>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</si>
  <si>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</si>
  <si>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</si>
  <si>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</si>
  <si>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</si>
  <si>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</si>
  <si>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</si>
  <si>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</si>
  <si>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</si>
  <si>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</si>
  <si>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</si>
  <si>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</si>
  <si>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</si>
  <si>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</si>
  <si>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</si>
  <si>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</si>
  <si>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</si>
  <si>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</si>
  <si>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</si>
  <si>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</si>
  <si>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</si>
  <si>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</si>
  <si>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</si>
  <si>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</si>
  <si>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</si>
  <si>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</si>
  <si>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</si>
  <si>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</si>
  <si>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</si>
  <si>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</si>
  <si>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</si>
  <si>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</si>
  <si>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</si>
  <si>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</si>
  <si>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</si>
  <si>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</si>
  <si>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</si>
  <si>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</si>
  <si>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</si>
  <si>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</si>
  <si>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</si>
  <si>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</si>
  <si>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</si>
  <si>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</si>
  <si>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</si>
  <si>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</si>
  <si>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</si>
  <si>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</si>
  <si>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</si>
  <si>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</si>
  <si>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</si>
  <si>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</si>
  <si>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</si>
  <si>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</si>
  <si>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</si>
  <si>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</si>
  <si>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</si>
  <si>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</si>
  <si>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</si>
  <si>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</si>
  <si>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</si>
  <si>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</si>
  <si>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</si>
  <si>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</si>
  <si>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</si>
  <si>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</si>
  <si>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</si>
  <si>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</si>
  <si>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</si>
  <si>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</si>
  <si>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</si>
  <si>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</si>
  <si>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</si>
  <si>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</si>
  <si>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</si>
  <si>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</si>
  <si>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</si>
  <si>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</si>
  <si>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</si>
  <si>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</si>
  <si>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</si>
  <si>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</si>
  <si>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</si>
  <si>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</si>
  <si>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</si>
  <si>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</si>
  <si>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</si>
  <si>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</si>
  <si>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</si>
  <si>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</si>
  <si>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</si>
  <si>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</si>
  <si>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</si>
  <si>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</si>
  <si>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</si>
  <si>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</si>
  <si>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</si>
  <si>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</si>
  <si>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</si>
  <si>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</si>
  <si>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</si>
  <si>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</si>
  <si>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</si>
  <si>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</si>
  <si>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</si>
  <si>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</si>
  <si>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</si>
  <si>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</si>
  <si>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</si>
  <si>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</si>
  <si>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</si>
  <si>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</si>
  <si>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</si>
  <si>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</si>
  <si>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</si>
  <si>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</si>
  <si>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</si>
  <si>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</si>
  <si>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</si>
  <si>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</si>
  <si>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</si>
  <si>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</si>
  <si>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</si>
  <si>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</si>
  <si>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</si>
  <si>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</si>
  <si>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</si>
  <si>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</si>
  <si>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</si>
  <si>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</si>
  <si>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</si>
  <si>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</si>
  <si>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</si>
  <si>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</si>
  <si>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</si>
  <si>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</si>
  <si>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</si>
  <si>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</si>
  <si>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</si>
  <si>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</si>
  <si>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</si>
  <si>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</si>
  <si>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</si>
  <si>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</si>
  <si>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</si>
  <si>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</si>
  <si>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</si>
  <si>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</si>
  <si>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</si>
  <si>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</si>
  <si>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</si>
  <si>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</si>
  <si>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</si>
  <si>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</si>
  <si>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</si>
  <si>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</si>
  <si>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</si>
  <si>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</si>
  <si>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</si>
  <si>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</si>
  <si>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</si>
  <si>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</si>
  <si>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</si>
  <si>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</si>
  <si>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</si>
  <si>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</si>
  <si>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</si>
  <si>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</si>
  <si>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</si>
  <si>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</si>
  <si>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</si>
  <si>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</si>
  <si>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</si>
  <si>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</si>
  <si>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</si>
  <si>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</si>
  <si>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</si>
  <si>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</si>
  <si>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</si>
  <si>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</si>
  <si>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</si>
  <si>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</si>
  <si>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</si>
  <si>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</si>
  <si>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</si>
  <si>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</si>
  <si>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</si>
  <si>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</si>
  <si>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</si>
  <si>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</si>
  <si>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</si>
  <si>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</si>
  <si>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</si>
  <si>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</si>
  <si>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</si>
  <si>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</si>
  <si>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</si>
  <si>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</si>
  <si>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</si>
  <si>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</si>
  <si>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</si>
  <si>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</si>
  <si>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</si>
  <si>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</si>
  <si>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</si>
  <si>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</si>
  <si>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</si>
  <si>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</si>
  <si>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</si>
  <si>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</si>
  <si>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</si>
  <si>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</si>
  <si>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</si>
  <si>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</si>
  <si>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</si>
  <si>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</si>
  <si>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</si>
  <si>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</si>
  <si>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</si>
  <si>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</si>
  <si>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</si>
  <si>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</si>
  <si>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</si>
  <si>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</si>
  <si>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</si>
  <si>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</si>
  <si>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</si>
  <si>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</si>
  <si>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</si>
  <si>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</si>
  <si>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</si>
  <si>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</si>
  <si>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</si>
  <si>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</si>
  <si>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</si>
  <si>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</si>
  <si>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</si>
  <si>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</si>
  <si>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</si>
  <si>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</si>
  <si>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</si>
  <si>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</si>
  <si>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</si>
  <si>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</si>
  <si>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</si>
  <si>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</si>
  <si>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</si>
  <si>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</si>
  <si>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</si>
  <si>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</si>
  <si>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</si>
  <si>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</si>
  <si>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</si>
  <si>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</si>
  <si>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</si>
  <si>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</si>
  <si>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</si>
  <si>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</si>
  <si>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</si>
  <si>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</si>
  <si>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</si>
  <si>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</si>
  <si>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</si>
  <si>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</si>
  <si>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</si>
  <si>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</si>
  <si>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</si>
  <si>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</si>
  <si>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</si>
  <si>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</si>
  <si>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</si>
  <si>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</si>
  <si>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</si>
  <si>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</si>
  <si>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</si>
  <si>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</si>
  <si>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</si>
  <si>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</si>
  <si>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</si>
  <si>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</si>
  <si>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</si>
  <si>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</si>
  <si>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</si>
  <si>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</si>
  <si>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</si>
  <si>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</si>
  <si>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</si>
  <si>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</si>
  <si>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</si>
  <si>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</si>
  <si>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</si>
  <si>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</si>
  <si>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</si>
  <si>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</si>
  <si>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</si>
  <si>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</si>
  <si>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</si>
  <si>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</si>
  <si>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</si>
  <si>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</si>
  <si>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</si>
  <si>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</si>
  <si>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</si>
  <si>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</si>
  <si>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</si>
  <si>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</si>
  <si>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</si>
  <si>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</si>
  <si>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</si>
  <si>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</si>
  <si>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</si>
  <si>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</si>
  <si>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</si>
  <si>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</si>
  <si>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</si>
  <si>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</si>
  <si>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</si>
  <si>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</si>
  <si>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</si>
  <si>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</si>
  <si>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</si>
  <si>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</si>
  <si>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</si>
  <si>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</si>
  <si>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</si>
  <si>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</si>
  <si>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</si>
  <si>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</si>
  <si>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</si>
  <si>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</si>
  <si>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</si>
  <si>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</si>
  <si>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</si>
  <si>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</si>
  <si>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</si>
  <si>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</si>
  <si>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</si>
  <si>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</si>
  <si>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</si>
  <si>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</si>
  <si>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</si>
  <si>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</si>
  <si>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</si>
  <si>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</si>
  <si>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</si>
  <si>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</si>
  <si>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</si>
  <si>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</si>
  <si>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</si>
  <si>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</si>
  <si>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</si>
  <si>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</si>
  <si>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</si>
  <si>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</si>
  <si>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</si>
  <si>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</si>
  <si>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</si>
  <si>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</si>
  <si>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</si>
  <si>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</si>
  <si>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</si>
  <si>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</si>
  <si>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</si>
  <si>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</si>
  <si>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</si>
  <si>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</si>
  <si>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</si>
  <si>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</si>
  <si>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</si>
  <si>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</si>
  <si>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</si>
  <si>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</si>
  <si>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</si>
  <si>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</si>
  <si>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</si>
  <si>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</si>
  <si>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</si>
  <si>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</si>
  <si>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</si>
  <si>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</si>
  <si>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</si>
  <si>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</si>
  <si>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</si>
  <si>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</si>
  <si>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</si>
  <si>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</si>
  <si>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</si>
  <si>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</si>
  <si>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</si>
  <si>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</si>
  <si>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</si>
  <si>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</si>
  <si>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</si>
  <si>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</si>
  <si>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</si>
  <si>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</si>
  <si>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</si>
  <si>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</si>
  <si>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</si>
  <si>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</si>
  <si>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</si>
  <si>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</si>
  <si>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</si>
  <si>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</si>
  <si>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</si>
  <si>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</si>
  <si>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</si>
  <si>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</si>
  <si>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</si>
  <si>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</si>
  <si>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</si>
  <si>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</si>
  <si>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</si>
  <si>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</si>
  <si>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</si>
  <si>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</si>
  <si>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</si>
  <si>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</si>
  <si>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</si>
  <si>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</si>
  <si>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</si>
  <si>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</si>
  <si>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</si>
  <si>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</si>
  <si>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</si>
  <si>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</si>
  <si>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</si>
  <si>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</si>
  <si>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</si>
  <si>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</si>
  <si>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</si>
  <si>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</si>
  <si>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</si>
  <si>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</si>
  <si>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</si>
  <si>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</si>
  <si>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</si>
  <si>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</si>
  <si>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</si>
  <si>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</si>
  <si>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</si>
  <si>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</si>
  <si>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</si>
  <si>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</si>
  <si>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</si>
  <si>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</si>
  <si>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</si>
  <si>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</si>
  <si>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</si>
  <si>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</si>
  <si>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</si>
  <si>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</si>
  <si>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</si>
  <si>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</si>
  <si>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</si>
  <si>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</si>
  <si>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</si>
  <si>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</si>
  <si>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</si>
  <si>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</si>
  <si>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</si>
  <si>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</si>
  <si>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</si>
  <si>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</si>
  <si>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</si>
  <si>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</si>
  <si>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</si>
  <si>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</si>
  <si>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</si>
  <si>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</si>
  <si>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</si>
  <si>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</si>
  <si>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</si>
  <si>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</si>
  <si>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</si>
  <si>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</si>
  <si>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</si>
  <si>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</si>
  <si>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</si>
  <si>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</si>
  <si>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</si>
  <si>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</si>
  <si>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</si>
  <si>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</si>
  <si>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</si>
  <si>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</si>
  <si>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</si>
  <si>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</si>
  <si>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</si>
  <si>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</si>
  <si>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</si>
  <si>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</si>
  <si>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</si>
  <si>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</si>
  <si>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</si>
  <si>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</si>
  <si>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</si>
  <si>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</si>
  <si>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</si>
  <si>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</si>
  <si>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</si>
  <si>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</si>
  <si>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</si>
  <si>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</si>
  <si>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</si>
  <si>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</si>
  <si>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</si>
  <si>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</si>
  <si>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</si>
  <si>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</si>
  <si>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</si>
  <si>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</si>
  <si>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</si>
  <si>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</si>
  <si>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</si>
  <si>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</si>
  <si>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</si>
  <si>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</si>
  <si>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</si>
  <si>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</si>
  <si>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</si>
  <si>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</si>
  <si>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</si>
  <si>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</si>
  <si>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</si>
  <si>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</si>
  <si>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</si>
  <si>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</si>
  <si>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</si>
  <si>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</si>
  <si>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</si>
  <si>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</si>
  <si>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</si>
  <si>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</si>
  <si>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</si>
  <si>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</si>
  <si>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</si>
  <si>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</si>
  <si>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</si>
  <si>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</si>
  <si>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</si>
  <si>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</si>
  <si>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</si>
  <si>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</si>
  <si>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</si>
  <si>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</si>
  <si>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</si>
  <si>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</si>
  <si>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</si>
  <si>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</si>
  <si>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</si>
  <si>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</si>
  <si>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</si>
  <si>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</si>
  <si>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</si>
  <si>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</si>
  <si>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</si>
  <si>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</si>
  <si>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</si>
  <si>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</si>
  <si>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</si>
  <si>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</si>
  <si>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</si>
  <si>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</si>
  <si>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</si>
  <si>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</si>
  <si>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</si>
  <si>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</si>
  <si>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</si>
  <si>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</si>
  <si>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</si>
  <si>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</si>
  <si>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</si>
  <si>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</si>
  <si>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</si>
  <si>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</si>
  <si>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</si>
  <si>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</si>
  <si>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</si>
  <si>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</si>
  <si>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</si>
  <si>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</si>
  <si>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</si>
  <si>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</si>
  <si>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</si>
  <si>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</si>
  <si>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</si>
  <si>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</si>
  <si>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</si>
  <si>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</si>
  <si>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</si>
  <si>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</si>
  <si>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</si>
  <si>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</si>
  <si>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</si>
  <si>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</si>
  <si>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</si>
  <si>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</si>
  <si>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</si>
  <si>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</si>
  <si>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</si>
  <si>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</si>
  <si>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</si>
  <si>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</si>
  <si>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</si>
  <si>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</si>
  <si>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</si>
  <si>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</si>
  <si>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</si>
  <si>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</si>
  <si>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</si>
  <si>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</si>
  <si>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</si>
  <si>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</si>
  <si>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</si>
  <si>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</si>
  <si>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</si>
  <si>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</si>
  <si>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</si>
  <si>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</si>
  <si>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</si>
  <si>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</si>
  <si>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</si>
  <si>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</si>
  <si>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</si>
  <si>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</si>
  <si>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</si>
  <si>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</si>
  <si>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</si>
  <si>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</si>
  <si>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</si>
  <si>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</si>
  <si>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</si>
  <si>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</si>
  <si>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</si>
  <si>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</si>
  <si>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</si>
  <si>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</si>
  <si>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</si>
  <si>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</si>
  <si>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</si>
  <si>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</si>
  <si>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</si>
  <si>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</si>
  <si>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</si>
  <si>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</si>
  <si>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</si>
  <si>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</si>
  <si>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</si>
  <si>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</si>
  <si>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</si>
  <si>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</si>
  <si>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</si>
  <si>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</si>
  <si>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</si>
  <si>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</si>
  <si>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</si>
  <si>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</si>
  <si>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</si>
  <si>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</si>
  <si>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</si>
  <si>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</si>
  <si>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</si>
  <si>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</si>
  <si>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</si>
  <si>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</si>
  <si>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</si>
  <si>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</si>
  <si>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</si>
  <si>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</si>
  <si>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</si>
  <si>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</si>
  <si>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</si>
  <si>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</si>
  <si>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</si>
  <si>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</si>
  <si>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</si>
  <si>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</si>
  <si>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</si>
  <si>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</si>
  <si>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</si>
  <si>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</si>
  <si>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</si>
  <si>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</si>
  <si>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</si>
  <si>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</si>
  <si>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</si>
  <si>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</si>
  <si>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</si>
  <si>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</si>
  <si>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</si>
  <si>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</si>
  <si>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</si>
  <si>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</si>
  <si>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</si>
  <si>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</si>
  <si>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</si>
  <si>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</si>
  <si>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</si>
  <si>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</si>
  <si>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</si>
  <si>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</si>
  <si>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</si>
  <si>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</si>
  <si>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</si>
  <si>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</si>
  <si>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</si>
  <si>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</si>
  <si>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</si>
  <si>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</si>
  <si>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</si>
  <si>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</si>
  <si>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</si>
  <si>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</si>
  <si>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</si>
  <si>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</si>
  <si>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</si>
  <si>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</si>
  <si>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</si>
  <si>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</si>
  <si>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</si>
  <si>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</si>
  <si>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</si>
  <si>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</si>
  <si>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</si>
  <si>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</si>
  <si>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</si>
  <si>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</si>
  <si>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</si>
  <si>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</si>
  <si>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</si>
  <si>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</si>
  <si>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</si>
  <si>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</si>
  <si>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</si>
  <si>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</si>
  <si>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</si>
  <si>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</si>
  <si>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</si>
  <si>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</si>
  <si>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</si>
  <si>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</si>
  <si>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</si>
  <si>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</si>
  <si>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</si>
  <si>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</si>
  <si>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</si>
  <si>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</si>
  <si>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</si>
  <si>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</si>
  <si>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</si>
  <si>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</si>
  <si>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</si>
  <si>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</si>
  <si>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</si>
  <si>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</si>
  <si>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</si>
  <si>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</si>
  <si>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</si>
  <si>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</si>
  <si>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</si>
  <si>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</si>
  <si>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</si>
  <si>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</si>
  <si>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</si>
  <si>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</si>
  <si>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</si>
  <si>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</si>
  <si>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</si>
  <si>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</si>
  <si>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</si>
  <si>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</si>
  <si>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</si>
  <si>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</si>
  <si>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</si>
  <si>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</si>
  <si>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</si>
  <si>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</si>
  <si>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</si>
  <si>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</si>
  <si>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</si>
  <si>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</si>
  <si>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</si>
  <si>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</si>
  <si>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</si>
  <si>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</si>
  <si>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</si>
  <si>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</si>
  <si>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</si>
  <si>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</si>
  <si>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</si>
  <si>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</si>
  <si>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</si>
  <si>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</si>
  <si>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</si>
  <si>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</si>
  <si>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</si>
  <si>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</si>
  <si>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</si>
  <si>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</si>
  <si>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</si>
  <si>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</si>
  <si>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</si>
  <si>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</si>
  <si>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</si>
  <si>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</si>
  <si>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</si>
  <si>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</si>
  <si>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</si>
  <si>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</si>
  <si>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</si>
  <si>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</si>
  <si>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</si>
  <si>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</si>
  <si>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</si>
  <si>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</si>
  <si>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</si>
  <si>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</si>
  <si>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</si>
  <si>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</si>
  <si>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</si>
  <si>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</si>
  <si>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</si>
  <si>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</si>
  <si>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</si>
  <si>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</si>
  <si>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</si>
  <si>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</si>
  <si>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</si>
  <si>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</si>
  <si>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</si>
  <si>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</si>
  <si>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</si>
  <si>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</si>
  <si>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</si>
  <si>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</si>
  <si>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</si>
  <si>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</si>
  <si>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</si>
  <si>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</si>
  <si>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</si>
  <si>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</si>
  <si>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</si>
  <si>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</si>
  <si>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</si>
  <si>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</si>
  <si>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</si>
  <si>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</si>
  <si>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</si>
  <si>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</si>
  <si>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</si>
  <si>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</si>
  <si>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</si>
  <si>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</si>
  <si>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</si>
  <si>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</si>
  <si>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</si>
  <si>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</si>
  <si>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</si>
  <si>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</si>
  <si>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</si>
  <si>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</si>
  <si>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</si>
  <si>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</si>
  <si>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</si>
  <si>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</si>
  <si>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</si>
  <si>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</si>
  <si>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</si>
  <si>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</si>
  <si>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</si>
  <si>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</si>
  <si>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</si>
  <si>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</si>
  <si>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</si>
  <si>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</si>
  <si>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</si>
  <si>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</si>
  <si>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</si>
  <si>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</si>
  <si>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</si>
  <si>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</si>
  <si>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</si>
  <si>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</si>
  <si>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</si>
  <si>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</si>
  <si>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</si>
  <si>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</si>
  <si>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</si>
  <si>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</si>
  <si>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</si>
  <si>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</si>
  <si>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</si>
  <si>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</si>
  <si>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</si>
  <si>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</si>
  <si>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</si>
  <si>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</si>
  <si>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</si>
  <si>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</si>
  <si>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</si>
  <si>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</si>
  <si>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</si>
  <si>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</si>
  <si>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</si>
  <si>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</si>
  <si>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</si>
  <si>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</si>
  <si>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</si>
  <si>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</si>
  <si>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</si>
  <si>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</si>
  <si>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</si>
  <si>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</si>
  <si>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</si>
  <si>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</si>
  <si>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</si>
  <si>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</si>
  <si>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</si>
  <si>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</si>
  <si>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</si>
  <si>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</si>
  <si>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</si>
  <si>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</si>
  <si>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</si>
  <si>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</si>
  <si>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</si>
  <si>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</si>
  <si>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</si>
  <si>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</si>
  <si>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</si>
  <si>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</si>
  <si>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</si>
  <si>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</si>
  <si>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</si>
  <si>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</si>
  <si>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</si>
  <si>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</si>
  <si>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</si>
  <si>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</si>
  <si>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</si>
  <si>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</si>
  <si>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</si>
  <si>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</si>
  <si>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</si>
  <si>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</si>
  <si>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</si>
  <si>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</si>
  <si>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</si>
  <si>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</si>
  <si>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</si>
  <si>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</si>
  <si>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</si>
  <si>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</si>
  <si>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</si>
  <si>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</si>
  <si>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</si>
  <si>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</si>
  <si>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</si>
  <si>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</si>
  <si>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</si>
  <si>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</si>
  <si>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</si>
  <si>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</si>
  <si>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</si>
  <si>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</si>
  <si>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</si>
  <si>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</si>
  <si>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</si>
  <si>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</si>
  <si>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</si>
  <si>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</si>
  <si>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</si>
  <si>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</si>
  <si>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</si>
  <si>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</si>
  <si>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</si>
  <si>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</si>
  <si>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</si>
  <si>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</si>
  <si>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</si>
  <si>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</si>
  <si>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</si>
  <si>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</si>
  <si>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</si>
  <si>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</si>
  <si>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</si>
  <si>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</si>
  <si>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</si>
  <si>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</si>
  <si>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</si>
  <si>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</si>
  <si>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</si>
  <si>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</si>
  <si>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</si>
  <si>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</si>
  <si>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</si>
  <si>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</si>
  <si>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</si>
  <si>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</si>
  <si>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</si>
  <si>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</si>
  <si>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</si>
  <si>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</si>
  <si>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</si>
  <si>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</si>
  <si>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</si>
  <si>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</si>
  <si>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</si>
  <si>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</si>
  <si>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</si>
  <si>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</si>
  <si>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</si>
  <si>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</si>
  <si>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</si>
  <si>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</si>
  <si>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</si>
  <si>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</si>
  <si>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</si>
  <si>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</si>
  <si>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</si>
  <si>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</si>
  <si>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</si>
  <si>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</si>
  <si>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</si>
  <si>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</si>
  <si>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</si>
  <si>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</si>
  <si>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</si>
  <si>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</si>
  <si>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</si>
  <si>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</si>
  <si>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</si>
  <si>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</si>
  <si>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</si>
  <si>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</si>
  <si>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</si>
  <si>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</si>
  <si>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</si>
  <si>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</si>
  <si>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</si>
  <si>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</si>
  <si>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</si>
  <si>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</si>
  <si>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</si>
  <si>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</si>
  <si>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</si>
  <si>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</si>
  <si>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</si>
  <si>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</si>
  <si>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</si>
  <si>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</si>
  <si>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</si>
  <si>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</si>
  <si>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</si>
  <si>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</si>
  <si>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</si>
  <si>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</si>
  <si>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</si>
  <si>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</si>
  <si>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</si>
  <si>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</si>
  <si>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</si>
  <si>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</si>
  <si>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</si>
  <si>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</si>
  <si>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</si>
  <si>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</si>
  <si>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</si>
  <si>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</si>
  <si>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</si>
  <si>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</si>
  <si>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</si>
  <si>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</si>
  <si>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</si>
  <si>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</si>
  <si>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</si>
  <si>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</si>
  <si>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</si>
  <si>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</si>
  <si>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</si>
  <si>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</si>
  <si>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</si>
  <si>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</si>
  <si>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</si>
  <si>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</si>
  <si>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</si>
  <si>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</si>
  <si>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</si>
  <si>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</si>
  <si>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</si>
  <si>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</si>
  <si>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</si>
  <si>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</si>
  <si>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</si>
  <si>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</si>
  <si>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</si>
  <si>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</si>
  <si>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</si>
  <si>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</si>
  <si>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</si>
  <si>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</si>
  <si>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</si>
  <si>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</si>
  <si>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</si>
  <si>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</si>
  <si>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</si>
  <si>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</si>
  <si>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</si>
  <si>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</si>
  <si>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</si>
  <si>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</si>
  <si>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</si>
  <si>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</si>
  <si>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</si>
  <si>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</si>
  <si>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</si>
  <si>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</si>
  <si>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</si>
  <si>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</si>
  <si>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</si>
  <si>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</si>
  <si>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</si>
  <si>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</si>
  <si>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</si>
  <si>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</si>
  <si>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</si>
  <si>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</si>
  <si>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</si>
  <si>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</si>
  <si>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</si>
  <si>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</si>
  <si>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</si>
  <si>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</si>
  <si>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</si>
  <si>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</si>
  <si>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</si>
  <si>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</si>
  <si>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</si>
  <si>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</si>
  <si>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</si>
  <si>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</si>
  <si>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</si>
  <si>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</si>
  <si>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</si>
  <si>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</si>
  <si>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</si>
  <si>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</si>
  <si>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</si>
  <si>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</si>
  <si>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</si>
  <si>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</si>
  <si>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</si>
  <si>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</si>
  <si>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</si>
  <si>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</si>
  <si>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</si>
  <si>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</si>
  <si>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</si>
  <si>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</si>
  <si>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</si>
  <si>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</si>
  <si>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</si>
  <si>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</si>
  <si>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</si>
  <si>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</si>
  <si>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</si>
  <si>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</si>
  <si>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</si>
  <si>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</si>
  <si>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</si>
  <si>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</si>
  <si>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</si>
  <si>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</si>
  <si>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</si>
  <si>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</si>
  <si>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</si>
  <si>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</si>
  <si>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</si>
  <si>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</si>
  <si>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</si>
  <si>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</si>
  <si>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</si>
  <si>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</si>
  <si>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</si>
  <si>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</si>
  <si>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</si>
  <si>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</si>
  <si>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</si>
  <si>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</si>
  <si>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</si>
  <si>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</si>
  <si>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</si>
  <si>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</si>
  <si>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</si>
  <si>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</si>
  <si>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</si>
  <si>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</si>
  <si>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</si>
  <si>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</si>
  <si>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</si>
  <si>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</si>
  <si>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</si>
  <si>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</si>
  <si>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</si>
  <si>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</si>
  <si>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</si>
  <si>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</si>
  <si>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</si>
  <si>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</si>
  <si>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</si>
  <si>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</si>
  <si>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</si>
  <si>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</si>
  <si>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</si>
  <si>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</si>
  <si>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</si>
  <si>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</si>
  <si>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</si>
  <si>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</si>
  <si>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</si>
  <si>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</si>
  <si>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</si>
  <si>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</si>
  <si>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</si>
  <si>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</si>
  <si>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</si>
  <si>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</si>
  <si>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</si>
  <si>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</si>
  <si>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</si>
  <si>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</si>
  <si>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</si>
  <si>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</si>
  <si>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</si>
  <si>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</si>
  <si>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</si>
  <si>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</si>
  <si>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</si>
  <si>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</si>
  <si>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</si>
  <si>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</si>
  <si>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</si>
  <si>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</si>
  <si>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</si>
  <si>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</si>
  <si>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</si>
  <si>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</si>
  <si>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</si>
  <si>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</si>
  <si>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</si>
  <si>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</si>
  <si>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</si>
  <si>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</si>
  <si>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</si>
  <si>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</si>
  <si>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</si>
  <si>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</si>
  <si>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</si>
  <si>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</si>
  <si>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</si>
  <si>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</si>
  <si>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</si>
  <si>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</si>
  <si>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</si>
  <si>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</si>
  <si>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</si>
  <si>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</si>
  <si>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</si>
  <si>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</si>
  <si>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</si>
  <si>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</si>
  <si>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</si>
  <si>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</si>
  <si>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</si>
  <si>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</si>
  <si>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</si>
  <si>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</si>
  <si>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</si>
  <si>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</si>
  <si>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</si>
  <si>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</si>
  <si>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</si>
  <si>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</si>
  <si>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</si>
  <si>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</si>
  <si>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</si>
  <si>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</si>
  <si>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</si>
  <si>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</si>
  <si>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</si>
  <si>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</si>
  <si>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</si>
  <si>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</si>
  <si>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</si>
  <si>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</si>
  <si>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</si>
  <si>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</si>
  <si>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</si>
  <si>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</si>
  <si>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</si>
  <si>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</si>
  <si>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</si>
  <si>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</si>
  <si>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</si>
  <si>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</si>
  <si>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</si>
  <si>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</si>
  <si>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</si>
  <si>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</si>
  <si>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</si>
  <si>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</si>
  <si>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</si>
  <si>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</si>
  <si>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</si>
  <si>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</si>
  <si>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</si>
  <si>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</si>
  <si>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</si>
  <si>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</si>
  <si>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</si>
  <si>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</si>
  <si>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</si>
  <si>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</si>
  <si>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</si>
  <si>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</si>
  <si>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</si>
  <si>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</si>
  <si>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</si>
  <si>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</si>
  <si>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</si>
  <si>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</si>
  <si>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</si>
  <si>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</si>
  <si>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</si>
  <si>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</si>
  <si>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</si>
  <si>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</si>
  <si>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</si>
  <si>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</si>
  <si>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</si>
  <si>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</si>
  <si>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</si>
  <si>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</si>
  <si>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</si>
  <si>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</si>
  <si>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</si>
  <si>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</si>
  <si>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</si>
  <si>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</si>
  <si>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</si>
  <si>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</si>
  <si>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</si>
  <si>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</si>
  <si>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</si>
  <si>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</si>
  <si>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</si>
  <si>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</si>
  <si>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</si>
  <si>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</si>
  <si>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</si>
  <si>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</si>
  <si>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</si>
  <si>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</si>
  <si>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</si>
  <si>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</si>
  <si>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</si>
  <si>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</si>
  <si>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</si>
  <si>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</si>
  <si>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</si>
  <si>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</si>
  <si>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</si>
  <si>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</si>
  <si>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</si>
  <si>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</si>
  <si>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</si>
  <si>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</si>
  <si>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</si>
  <si>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</si>
  <si>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</si>
  <si>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</si>
  <si>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</si>
  <si>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</si>
  <si>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</si>
  <si>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</si>
  <si>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</si>
  <si>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</si>
  <si>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</si>
  <si>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</si>
  <si>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</si>
  <si>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</si>
  <si>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</si>
  <si>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</si>
  <si>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</si>
  <si>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</si>
  <si>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</si>
  <si>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</si>
  <si>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</si>
  <si>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</si>
  <si>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</si>
  <si>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</si>
  <si>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</si>
  <si>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</si>
  <si>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</si>
  <si>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</si>
  <si>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</si>
  <si>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</si>
  <si>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</si>
  <si>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</si>
  <si>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</si>
  <si>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</si>
  <si>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</si>
  <si>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</si>
  <si>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</si>
  <si>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</si>
  <si>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</si>
  <si>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</si>
  <si>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</si>
  <si>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</si>
  <si>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</si>
  <si>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</si>
  <si>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</si>
  <si>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</si>
  <si>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</si>
  <si>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</si>
  <si>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</si>
  <si>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</si>
  <si>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</si>
  <si>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</si>
  <si>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</si>
  <si>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</si>
  <si>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</si>
  <si>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</si>
  <si>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</si>
  <si>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</si>
  <si>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</si>
  <si>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</si>
  <si>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</si>
  <si>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</si>
  <si>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</si>
  <si>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</si>
  <si>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</si>
  <si>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</si>
  <si>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</si>
  <si>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</si>
  <si>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</si>
  <si>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</si>
  <si>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</si>
  <si>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</si>
  <si>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</si>
  <si>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</si>
  <si>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</si>
  <si>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</si>
  <si>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</si>
  <si>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</si>
  <si>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</si>
  <si>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</si>
  <si>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</si>
  <si>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</si>
  <si>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</si>
  <si>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</si>
  <si>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</si>
  <si>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</si>
  <si>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</si>
  <si>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</si>
  <si>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</si>
  <si>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</si>
  <si>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</si>
  <si>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</si>
  <si>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</si>
  <si>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</si>
  <si>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</si>
  <si>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</si>
  <si>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</si>
  <si>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</si>
  <si>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</si>
  <si>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</si>
  <si>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</si>
  <si>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</si>
  <si>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</si>
  <si>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</si>
  <si>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</si>
  <si>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</si>
  <si>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</si>
  <si>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</si>
  <si>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</si>
  <si>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</si>
  <si>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</si>
  <si>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</si>
  <si>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</si>
  <si>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</si>
  <si>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</si>
  <si>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</si>
  <si>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</si>
  <si>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</si>
  <si>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</si>
  <si>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</si>
  <si>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</si>
  <si>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</si>
  <si>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</si>
  <si>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</si>
  <si>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</si>
  <si>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</si>
  <si>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</si>
  <si>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</si>
  <si>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</si>
  <si>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</si>
  <si>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</si>
  <si>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</si>
  <si>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</si>
  <si>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</si>
  <si>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</si>
  <si>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</si>
  <si>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</si>
  <si>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</si>
  <si>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</si>
  <si>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</si>
  <si>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</si>
  <si>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</si>
  <si>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</si>
  <si>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</si>
  <si>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</si>
  <si>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</si>
  <si>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</si>
  <si>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</si>
  <si>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</si>
  <si>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</si>
  <si>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</si>
  <si>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</si>
  <si>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</si>
  <si>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</si>
  <si>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</si>
  <si>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</si>
  <si>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</si>
  <si>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</si>
  <si>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</si>
  <si>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</si>
  <si>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</si>
  <si>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</si>
  <si>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</si>
  <si>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</si>
  <si>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</si>
  <si>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</si>
  <si>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</si>
  <si>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</si>
  <si>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</si>
  <si>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</si>
  <si>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</si>
  <si>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</si>
  <si>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</si>
  <si>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</si>
  <si>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</si>
  <si>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</si>
  <si>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</si>
  <si>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</si>
  <si>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</si>
  <si>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</si>
  <si>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</si>
  <si>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</si>
  <si>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</si>
  <si>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</si>
  <si>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</si>
  <si>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</si>
  <si>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</si>
  <si>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</si>
  <si>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</si>
  <si>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</si>
  <si>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</si>
  <si>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</si>
  <si>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</si>
  <si>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</si>
  <si>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</si>
  <si>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</si>
  <si>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</si>
  <si>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</si>
  <si>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</si>
  <si>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</si>
  <si>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</si>
  <si>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</si>
  <si>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</si>
  <si>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</si>
  <si>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</si>
  <si>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</si>
  <si>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</si>
  <si>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</si>
  <si>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</si>
  <si>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</si>
  <si>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</si>
  <si>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</si>
  <si>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</si>
  <si>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</si>
  <si>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</si>
  <si>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</si>
  <si>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</si>
  <si>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</si>
  <si>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</si>
  <si>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</si>
  <si>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</si>
  <si>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</si>
  <si>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</si>
  <si>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</si>
  <si>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</si>
  <si>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</si>
  <si>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</si>
  <si>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</si>
  <si>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</si>
  <si>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</si>
  <si>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</si>
  <si>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</si>
  <si>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</si>
  <si>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</si>
  <si>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</si>
  <si>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</si>
  <si>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</si>
  <si>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</si>
  <si>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</si>
  <si>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</si>
  <si>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</si>
  <si>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</si>
  <si>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</si>
  <si>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</si>
  <si>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</si>
  <si>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</si>
  <si>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</si>
  <si>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</si>
  <si>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</si>
  <si>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</si>
  <si>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</si>
  <si>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</si>
  <si>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</si>
  <si>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</si>
  <si>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</si>
  <si>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</si>
  <si>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</si>
  <si>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</si>
  <si>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</si>
  <si>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</si>
  <si>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</si>
  <si>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</si>
  <si>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</si>
  <si>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</si>
  <si>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</si>
  <si>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</si>
  <si>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</si>
  <si>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</si>
  <si>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</si>
  <si>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</si>
  <si>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</si>
  <si>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</si>
  <si>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</si>
  <si>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</si>
  <si>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</si>
  <si>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</si>
  <si>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</si>
  <si>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</si>
  <si>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</si>
  <si>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</si>
  <si>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</si>
  <si>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</si>
  <si>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</si>
  <si>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</si>
  <si>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</si>
  <si>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</si>
  <si>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</si>
  <si>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</si>
  <si>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</si>
  <si>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</si>
  <si>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</si>
  <si>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</si>
  <si>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</si>
  <si>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</si>
  <si>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</si>
  <si>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</si>
  <si>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</si>
  <si>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</si>
  <si>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</si>
  <si>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</si>
  <si>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</si>
  <si>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</si>
  <si>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</si>
  <si>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</si>
  <si>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</si>
  <si>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</si>
  <si>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</si>
  <si>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</si>
  <si>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</si>
  <si>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</si>
  <si>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</si>
  <si>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</si>
  <si>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</si>
  <si>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</si>
  <si>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</si>
  <si>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</si>
  <si>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</si>
  <si>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</si>
  <si>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</si>
  <si>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</si>
  <si>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</si>
  <si>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</si>
  <si>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</si>
  <si>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</si>
  <si>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</si>
  <si>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</si>
  <si>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</si>
  <si>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</si>
  <si>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</si>
  <si>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</si>
  <si>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</si>
  <si>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</si>
  <si>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</si>
  <si>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</si>
  <si>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</si>
  <si>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</si>
  <si>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</si>
  <si>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</si>
  <si>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</si>
  <si>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</si>
  <si>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</si>
  <si>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</si>
  <si>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</si>
  <si>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</si>
  <si>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</si>
  <si>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</si>
  <si>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</si>
  <si>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</si>
  <si>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</si>
  <si>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</si>
  <si>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</si>
  <si>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</si>
  <si>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</si>
  <si>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</si>
  <si>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</si>
  <si>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</si>
  <si>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</si>
  <si>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</si>
  <si>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</si>
  <si>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</si>
  <si>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</si>
  <si>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</si>
  <si>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</si>
  <si>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</si>
  <si>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</si>
  <si>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</si>
  <si>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</si>
  <si>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</si>
  <si>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</si>
  <si>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</si>
  <si>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</si>
  <si>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</si>
  <si>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</si>
  <si>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</si>
  <si>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</si>
  <si>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</si>
  <si>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</si>
  <si>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</si>
  <si>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</si>
  <si>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</si>
  <si>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</si>
  <si>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</si>
  <si>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</si>
  <si>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</si>
  <si>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</si>
  <si>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</si>
  <si>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</si>
  <si>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</si>
  <si>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</si>
  <si>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</si>
  <si>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</si>
  <si>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</si>
  <si>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</si>
  <si>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</si>
  <si>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</si>
  <si>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</si>
  <si>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</si>
  <si>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</si>
  <si>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</si>
  <si>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</si>
  <si>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</si>
  <si>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</si>
  <si>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</si>
  <si>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</si>
  <si>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</si>
  <si>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</si>
  <si>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</si>
  <si>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</si>
  <si>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</si>
  <si>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</si>
  <si>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</si>
  <si>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</si>
  <si>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</si>
  <si>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</si>
  <si>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</si>
  <si>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</si>
  <si>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</si>
  <si>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</si>
  <si>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</si>
  <si>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</si>
  <si>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</si>
  <si>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</si>
  <si>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</si>
  <si>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</si>
  <si>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</si>
  <si>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</si>
  <si>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</si>
  <si>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</si>
  <si>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</si>
  <si>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</si>
  <si>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</si>
  <si>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</si>
  <si>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</si>
  <si>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</si>
  <si>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</si>
  <si>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</si>
  <si>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</si>
  <si>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</si>
  <si>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</si>
  <si>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</si>
  <si>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</si>
  <si>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</si>
  <si>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</si>
  <si>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</si>
  <si>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</si>
  <si>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</si>
  <si>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</si>
  <si>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</si>
  <si>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</si>
  <si>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</si>
  <si>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</si>
  <si>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</si>
  <si>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</si>
  <si>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</si>
  <si>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</si>
  <si>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</si>
  <si>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</si>
  <si>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</si>
  <si>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</si>
  <si>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</si>
  <si>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</si>
  <si>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</si>
  <si>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</si>
  <si>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</si>
  <si>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</si>
  <si>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</si>
  <si>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</si>
  <si>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</si>
  <si>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</si>
  <si>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</si>
  <si>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</si>
  <si>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</si>
  <si>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</si>
  <si>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</si>
  <si>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</si>
  <si>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</si>
  <si>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</si>
  <si>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</si>
  <si>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</si>
  <si>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</si>
  <si>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</si>
  <si>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</si>
  <si>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</si>
  <si>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</si>
  <si>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</si>
  <si>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</si>
  <si>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</si>
  <si>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</si>
  <si>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</si>
  <si>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</si>
  <si>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</si>
  <si>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</si>
  <si>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</si>
  <si>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</si>
  <si>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</si>
  <si>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</si>
  <si>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</si>
  <si>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</si>
  <si>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</si>
  <si>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</si>
  <si>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</si>
  <si>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</si>
  <si>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</si>
  <si>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</si>
  <si>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</si>
  <si>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</si>
  <si>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</si>
  <si>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</si>
  <si>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</si>
  <si>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</si>
  <si>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</si>
  <si>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</si>
  <si>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</si>
  <si>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</si>
  <si>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</si>
  <si>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</si>
  <si>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</si>
  <si>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</si>
  <si>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</si>
  <si>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</si>
  <si>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</si>
  <si>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</si>
  <si>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</si>
  <si>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</si>
  <si>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</si>
  <si>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</si>
  <si>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</si>
  <si>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</si>
  <si>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</si>
  <si>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</si>
  <si>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</si>
  <si>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</si>
  <si>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</si>
  <si>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</si>
  <si>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</si>
  <si>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</si>
  <si>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</si>
  <si>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</si>
  <si>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</si>
  <si>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</si>
  <si>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</si>
  <si>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</si>
  <si>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</si>
  <si>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</si>
  <si>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</si>
  <si>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</si>
  <si>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</si>
  <si>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</si>
  <si>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</si>
  <si>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</si>
  <si>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</si>
  <si>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</si>
  <si>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</si>
  <si>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</si>
  <si>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</si>
  <si>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</si>
  <si>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</si>
  <si>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</si>
  <si>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</si>
  <si>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</si>
  <si>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</si>
  <si>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</si>
  <si>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</si>
  <si>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</si>
  <si>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</si>
  <si>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</si>
  <si>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</si>
  <si>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</si>
  <si>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</si>
  <si>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</si>
  <si>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</si>
  <si>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</si>
  <si>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</si>
  <si>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</si>
  <si>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</si>
  <si>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</si>
  <si>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</si>
  <si>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</si>
  <si>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</si>
  <si>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</si>
  <si>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</si>
  <si>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</si>
  <si>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</si>
  <si>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</si>
  <si>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</si>
  <si>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</si>
  <si>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</si>
  <si>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</si>
  <si>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</si>
  <si>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</si>
  <si>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</si>
  <si>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</si>
  <si>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</si>
  <si>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</si>
  <si>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</si>
  <si>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</si>
  <si>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</si>
  <si>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</si>
  <si>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</si>
  <si>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</si>
  <si>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</si>
  <si>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</si>
  <si>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</si>
  <si>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</si>
  <si>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</si>
  <si>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</si>
  <si>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</si>
  <si>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</si>
  <si>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</si>
  <si>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</si>
  <si>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</si>
  <si>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</si>
  <si>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</si>
  <si>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</si>
  <si>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</si>
  <si>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</si>
  <si>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</si>
  <si>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</si>
  <si>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</si>
  <si>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</si>
  <si>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</si>
  <si>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</si>
  <si>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</si>
  <si>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</si>
  <si>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</si>
  <si>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</si>
  <si>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</si>
  <si>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</si>
  <si>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</si>
  <si>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</si>
  <si>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</si>
  <si>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</si>
  <si>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</si>
  <si>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</si>
  <si>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</si>
  <si>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</si>
  <si>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</si>
  <si>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</si>
  <si>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</si>
  <si>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</si>
  <si>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</si>
  <si>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</si>
  <si>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</si>
  <si>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</si>
  <si>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</si>
  <si>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</si>
  <si>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</si>
  <si>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</si>
  <si>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</si>
  <si>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</si>
  <si>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</si>
  <si>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</si>
  <si>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</si>
  <si>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</si>
  <si>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</si>
  <si>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</si>
  <si>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</si>
  <si>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</si>
  <si>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</si>
  <si>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</si>
  <si>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</si>
  <si>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</si>
  <si>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</si>
  <si>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</si>
  <si>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</si>
  <si>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</si>
  <si>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</si>
  <si>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</si>
  <si>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</si>
  <si>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</si>
  <si>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</si>
  <si>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</si>
  <si>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</si>
  <si>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</si>
  <si>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</si>
  <si>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</si>
  <si>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</si>
  <si>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</si>
  <si>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</si>
  <si>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</si>
  <si>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</si>
  <si>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</si>
  <si>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</si>
  <si>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</si>
  <si>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</si>
  <si>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</si>
  <si>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</si>
  <si>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</si>
  <si>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</si>
  <si>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</si>
  <si>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</si>
  <si>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</si>
  <si>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</si>
  <si>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</si>
  <si>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</si>
  <si>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</si>
  <si>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</si>
  <si>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</si>
  <si>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</si>
  <si>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</si>
  <si>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</si>
  <si>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</si>
  <si>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</si>
  <si>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</si>
  <si>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</si>
  <si>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</si>
  <si>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</si>
  <si>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</si>
  <si>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</si>
  <si>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</si>
  <si>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</si>
  <si>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</si>
  <si>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</si>
  <si>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</si>
  <si>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</si>
  <si>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</si>
  <si>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</si>
  <si>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</si>
  <si>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</si>
  <si>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</si>
  <si>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</si>
  <si>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</si>
  <si>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</si>
  <si>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</si>
  <si>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</si>
  <si>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</si>
  <si>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</si>
  <si>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</si>
  <si>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</si>
  <si>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</si>
  <si>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</si>
  <si>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</si>
  <si>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</si>
  <si>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</si>
  <si>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</si>
  <si>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</si>
  <si>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</si>
  <si>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</si>
  <si>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</si>
  <si>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</si>
  <si>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</si>
  <si>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</si>
  <si>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</si>
  <si>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</si>
  <si>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</si>
  <si>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</si>
  <si>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</si>
  <si>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</si>
  <si>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</si>
  <si>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</si>
  <si>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</si>
  <si>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</si>
  <si>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</si>
  <si>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</si>
  <si>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</si>
  <si>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</si>
  <si>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</si>
  <si>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</si>
  <si>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</si>
  <si>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</si>
  <si>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</si>
  <si>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</si>
  <si>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</si>
  <si>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</si>
  <si>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</si>
  <si>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</si>
  <si>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</si>
  <si>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</si>
  <si>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</si>
  <si>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</si>
  <si>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</si>
  <si>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</si>
  <si>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</si>
  <si>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</si>
  <si>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</si>
  <si>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</si>
  <si>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</si>
  <si>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</si>
  <si>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</si>
  <si>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</si>
  <si>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</si>
  <si>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</si>
  <si>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</si>
  <si>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</si>
  <si>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</si>
  <si>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</si>
  <si>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</si>
  <si>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</si>
  <si>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</si>
  <si>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</si>
  <si>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</si>
  <si>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</si>
  <si>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</si>
  <si>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</si>
  <si>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</si>
  <si>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</si>
  <si>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</si>
  <si>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</si>
  <si>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</si>
  <si>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</si>
  <si>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</si>
  <si>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</si>
  <si>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</si>
  <si>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</si>
  <si>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</si>
  <si>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</si>
  <si>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</si>
  <si>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</si>
  <si>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</si>
  <si>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</si>
  <si>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</si>
  <si>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</si>
  <si>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</si>
  <si>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</si>
  <si>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</si>
  <si>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</si>
  <si>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</si>
  <si>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</si>
  <si>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</si>
  <si>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</si>
  <si>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</si>
  <si>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</si>
  <si>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</si>
  <si>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</si>
  <si>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</si>
  <si>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</si>
  <si>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</si>
  <si>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</si>
  <si>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</si>
  <si>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</si>
  <si>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</si>
  <si>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</si>
  <si>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</si>
  <si>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</si>
  <si>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</si>
  <si>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</si>
  <si>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</si>
  <si>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</si>
  <si>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</si>
  <si>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</si>
  <si>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</si>
  <si>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</si>
  <si>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</si>
  <si>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</si>
  <si>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</si>
  <si>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</si>
  <si>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</si>
  <si>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</si>
  <si>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</si>
  <si>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</si>
  <si>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</si>
  <si>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</si>
  <si>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</si>
  <si>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</si>
  <si>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</si>
  <si>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</si>
  <si>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</si>
  <si>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</si>
  <si>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</si>
  <si>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</si>
  <si>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</si>
  <si>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</si>
  <si>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</si>
  <si>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</si>
  <si>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</si>
  <si>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</si>
  <si>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</si>
  <si>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</si>
  <si>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</si>
  <si>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</si>
  <si>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</si>
  <si>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</si>
  <si>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</si>
  <si>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</si>
  <si>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</si>
  <si>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</si>
  <si>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</si>
  <si>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</si>
  <si>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</si>
  <si>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</si>
  <si>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</si>
  <si>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</si>
  <si>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</si>
  <si>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</si>
  <si>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</si>
  <si>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</si>
  <si>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</si>
  <si>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</si>
  <si>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</si>
  <si>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</si>
  <si>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</si>
  <si>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</si>
  <si>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</si>
  <si>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</si>
  <si>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</si>
  <si>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</si>
  <si>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</si>
  <si>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</si>
  <si>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</si>
  <si>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</si>
  <si>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</si>
  <si>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</si>
  <si>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</si>
  <si>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</si>
  <si>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</si>
  <si>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</si>
  <si>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</si>
  <si>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</si>
  <si>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</si>
  <si>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</si>
  <si>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</si>
  <si>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</si>
  <si>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</si>
  <si>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</si>
  <si>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</si>
  <si>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</si>
  <si>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</si>
  <si>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</si>
  <si>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</si>
  <si>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</si>
  <si>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</si>
  <si>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</si>
  <si>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</si>
  <si>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</si>
  <si>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</si>
  <si>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</si>
  <si>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</si>
  <si>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</si>
  <si>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</si>
  <si>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</si>
  <si>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</si>
  <si>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</si>
  <si>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</si>
  <si>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</si>
  <si>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</si>
  <si>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</si>
  <si>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</si>
  <si>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</si>
  <si>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</si>
  <si>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</si>
  <si>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</si>
  <si>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</si>
  <si>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</si>
  <si>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</si>
  <si>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</si>
  <si>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</si>
  <si>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</si>
  <si>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</si>
  <si>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</si>
  <si>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</si>
  <si>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</si>
  <si>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</si>
  <si>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</si>
  <si>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</si>
  <si>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</si>
  <si>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</si>
  <si>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</si>
  <si>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</si>
  <si>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</si>
  <si>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</si>
  <si>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</si>
  <si>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</si>
  <si>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</si>
  <si>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</si>
  <si>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</si>
  <si>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</si>
  <si>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</si>
  <si>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</si>
  <si>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</si>
  <si>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</si>
  <si>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</si>
  <si>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</si>
  <si>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</si>
  <si>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</si>
  <si>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</si>
  <si>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</si>
  <si>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</si>
  <si>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</si>
  <si>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</si>
  <si>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</si>
  <si>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</si>
  <si>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</si>
  <si>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</si>
  <si>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</si>
  <si>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</si>
  <si>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</si>
  <si>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</si>
  <si>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</si>
  <si>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</si>
  <si>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</si>
  <si>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</si>
  <si>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</si>
  <si>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</si>
  <si>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</si>
  <si>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</si>
  <si>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</si>
  <si>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</si>
  <si>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</si>
  <si>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</si>
  <si>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</si>
  <si>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</si>
  <si>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</si>
  <si>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</si>
  <si>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</si>
  <si>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</si>
  <si>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</si>
  <si>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</si>
  <si>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</si>
  <si>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</si>
  <si>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</si>
  <si>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</si>
  <si>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</si>
  <si>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</si>
  <si>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</si>
  <si>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</si>
  <si>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</si>
  <si>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</si>
  <si>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</si>
  <si>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</si>
  <si>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</si>
  <si>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</si>
  <si>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</si>
  <si>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</si>
  <si>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</si>
  <si>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</si>
  <si>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</si>
  <si>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</si>
  <si>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</si>
  <si>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</si>
  <si>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</si>
  <si>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</si>
  <si>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</si>
  <si>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</si>
  <si>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</si>
  <si>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</si>
  <si>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</si>
  <si>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</si>
  <si>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</si>
  <si>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</si>
  <si>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</si>
  <si>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</si>
  <si>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</si>
  <si>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</si>
  <si>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</si>
  <si>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</si>
  <si>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</si>
  <si>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</si>
  <si>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</si>
  <si>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</si>
  <si>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</si>
  <si>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</si>
  <si>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</si>
  <si>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</si>
  <si>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</si>
  <si>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</si>
  <si>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</si>
  <si>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</si>
  <si>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</si>
  <si>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</si>
  <si>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</si>
  <si>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</si>
  <si>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</si>
  <si>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</si>
  <si>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</si>
  <si>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</si>
  <si>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</si>
  <si>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</si>
  <si>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</si>
  <si>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</si>
  <si>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</si>
  <si>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</si>
  <si>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</si>
  <si>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</si>
  <si>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</si>
  <si>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</si>
  <si>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</si>
  <si>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</si>
  <si>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</si>
  <si>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</si>
  <si>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</si>
  <si>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</si>
  <si>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</si>
  <si>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</si>
  <si>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</si>
  <si>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</si>
  <si>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</si>
  <si>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</si>
  <si>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</si>
  <si>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</si>
  <si>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</si>
  <si>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</si>
  <si>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</si>
  <si>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</si>
  <si>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</si>
  <si>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</si>
  <si>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</si>
  <si>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</si>
  <si>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</si>
  <si>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</si>
  <si>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</si>
  <si>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</si>
  <si>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</si>
  <si>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</si>
  <si>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</si>
  <si>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</si>
  <si>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</si>
  <si>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</si>
  <si>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</si>
  <si>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</si>
  <si>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</si>
  <si>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</si>
  <si>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</si>
  <si>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</si>
  <si>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</si>
  <si>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</si>
  <si>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</si>
  <si>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</si>
  <si>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</si>
  <si>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</si>
  <si>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</si>
  <si>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</si>
  <si>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</si>
  <si>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</si>
  <si>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</si>
  <si>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</si>
  <si>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</si>
  <si>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</si>
  <si>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</si>
  <si>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</si>
  <si>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</si>
  <si>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</si>
  <si>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</si>
  <si>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</si>
  <si>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</si>
  <si>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</si>
  <si>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</si>
  <si>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</si>
  <si>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</si>
  <si>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</si>
  <si>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</si>
  <si>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</si>
  <si>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</si>
  <si>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</si>
  <si>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</si>
  <si>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</si>
  <si>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</si>
  <si>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</si>
  <si>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</si>
  <si>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</si>
  <si>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</si>
  <si>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</si>
  <si>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</si>
  <si>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</si>
  <si>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</si>
  <si>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</si>
  <si>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</si>
  <si>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</si>
  <si>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</si>
  <si>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</si>
  <si>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</si>
  <si>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</si>
  <si>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</si>
  <si>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</si>
  <si>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</si>
  <si>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</si>
  <si>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</si>
  <si>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</si>
  <si>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</si>
  <si>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</si>
  <si>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</si>
  <si>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</si>
  <si>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</si>
  <si>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</si>
  <si>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</si>
  <si>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</si>
  <si>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</si>
  <si>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</si>
  <si>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</si>
  <si>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</si>
  <si>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</si>
  <si>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</si>
  <si>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</si>
  <si>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</si>
  <si>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</si>
  <si>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</si>
  <si>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</si>
  <si>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</si>
  <si>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</si>
  <si>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</si>
  <si>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</si>
  <si>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</si>
  <si>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</si>
  <si>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</si>
  <si>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</si>
  <si>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</si>
  <si>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</si>
  <si>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</si>
  <si>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</si>
  <si>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</si>
  <si>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</si>
  <si>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</si>
  <si>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</si>
  <si>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</si>
  <si>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</si>
  <si>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</si>
  <si>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</si>
  <si>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</si>
  <si>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</si>
  <si>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</si>
  <si>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</si>
  <si>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</si>
  <si>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</si>
  <si>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</si>
  <si>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</si>
  <si>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</si>
  <si>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</si>
  <si>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</si>
  <si>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</si>
  <si>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</si>
  <si>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</si>
  <si>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</si>
  <si>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</si>
  <si>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</si>
  <si>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</si>
  <si>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</si>
  <si>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</si>
  <si>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</si>
  <si>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</si>
  <si>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</si>
  <si>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</si>
  <si>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</si>
  <si>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</si>
  <si>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</si>
  <si>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</si>
  <si>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</si>
  <si>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</si>
  <si>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</si>
  <si>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</si>
  <si>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</si>
  <si>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</si>
  <si>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</si>
  <si>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</si>
  <si>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</si>
  <si>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</si>
  <si>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</si>
  <si>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</si>
  <si>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</si>
  <si>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</si>
  <si>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</si>
  <si>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</si>
  <si>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</si>
  <si>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</si>
  <si>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</si>
  <si>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</si>
  <si>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</si>
  <si>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</si>
  <si>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</si>
  <si>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</si>
  <si>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</si>
  <si>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</si>
  <si>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</si>
  <si>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</si>
  <si>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</si>
  <si>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</si>
  <si>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</si>
  <si>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</si>
  <si>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</si>
  <si>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</si>
  <si>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</si>
  <si>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</si>
  <si>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</si>
  <si>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</si>
  <si>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</si>
  <si>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</si>
  <si>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</si>
  <si>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</si>
  <si>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</si>
  <si>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</si>
  <si>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</si>
  <si>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</si>
  <si>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</si>
  <si>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</si>
  <si>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</si>
  <si>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</si>
  <si>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</si>
  <si>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</si>
  <si>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</si>
  <si>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</si>
  <si>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</si>
  <si>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</si>
  <si>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</si>
  <si>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</si>
  <si>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</si>
  <si>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</si>
  <si>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</si>
  <si>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</si>
  <si>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</si>
  <si>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</si>
  <si>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</si>
  <si>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</si>
  <si>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</si>
  <si>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</si>
  <si>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</si>
  <si>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</si>
  <si>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</si>
  <si>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</si>
  <si>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</si>
  <si>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</si>
  <si>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</si>
  <si>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</si>
  <si>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</si>
  <si>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</si>
  <si>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</si>
  <si>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</si>
  <si>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</si>
  <si>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</si>
  <si>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</si>
  <si>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</si>
  <si>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</si>
  <si>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</si>
  <si>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</si>
  <si>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</si>
  <si>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</si>
  <si>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</si>
  <si>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</si>
  <si>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</si>
  <si>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</si>
  <si>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</si>
  <si>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</si>
  <si>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</si>
  <si>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</si>
  <si>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</si>
  <si>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</si>
  <si>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</si>
  <si>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</si>
  <si>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</si>
  <si>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</si>
  <si>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</si>
  <si>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</si>
  <si>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</si>
  <si>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</si>
  <si>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</si>
  <si>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</si>
  <si>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</si>
  <si>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</si>
  <si>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</si>
  <si>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</si>
  <si>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</si>
  <si>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</si>
  <si>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</si>
  <si>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</si>
  <si>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</si>
  <si>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</si>
  <si>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</si>
  <si>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</si>
  <si>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</si>
  <si>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</si>
  <si>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</si>
  <si>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</si>
  <si>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</si>
  <si>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</si>
  <si>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</si>
  <si>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</si>
  <si>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</si>
  <si>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</si>
  <si>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</si>
  <si>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</si>
  <si>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</si>
  <si>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</si>
  <si>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</si>
  <si>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</si>
  <si>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</si>
  <si>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</si>
  <si>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</si>
  <si>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</si>
  <si>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</si>
  <si>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</si>
  <si>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</si>
  <si>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</si>
  <si>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</si>
  <si>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</si>
  <si>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</si>
  <si>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</si>
  <si>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</si>
  <si>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</si>
  <si>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</si>
  <si>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</si>
  <si>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</si>
  <si>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</si>
  <si>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</si>
  <si>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</si>
  <si>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</si>
  <si>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</si>
  <si>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</si>
  <si>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</si>
  <si>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</si>
  <si>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</si>
  <si>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</si>
  <si>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</si>
  <si>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</si>
  <si>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</si>
  <si>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</si>
  <si>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</si>
  <si>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</si>
  <si>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</si>
  <si>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</si>
  <si>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</si>
  <si>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</si>
  <si>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</si>
  <si>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</si>
  <si>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</si>
  <si>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</si>
  <si>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</si>
  <si>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</si>
  <si>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</si>
  <si>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</si>
  <si>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</si>
  <si>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</si>
  <si>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</si>
  <si>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</si>
  <si>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</si>
  <si>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</si>
  <si>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</si>
  <si>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</si>
  <si>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</si>
  <si>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</si>
  <si>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</si>
  <si>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</si>
  <si>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</si>
  <si>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</si>
  <si>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</si>
  <si>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</si>
  <si>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</si>
  <si>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</si>
  <si>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</si>
  <si>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</si>
  <si>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</si>
  <si>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</si>
  <si>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</si>
  <si>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</si>
  <si>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</si>
  <si>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</si>
  <si>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</si>
  <si>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</si>
  <si>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</si>
  <si>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</si>
  <si>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</si>
  <si>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</si>
  <si>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</si>
  <si>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</si>
  <si>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</si>
  <si>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</si>
  <si>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</si>
  <si>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</si>
  <si>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</si>
  <si>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</si>
  <si>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</si>
  <si>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</si>
  <si>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</si>
  <si>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</si>
  <si>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</si>
  <si>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</si>
  <si>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</si>
  <si>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</si>
  <si>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</si>
  <si>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</si>
  <si>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</si>
  <si>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</si>
  <si>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</si>
  <si>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</si>
  <si>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</si>
  <si>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</si>
  <si>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</si>
  <si>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</si>
  <si>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</si>
  <si>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</si>
  <si>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</si>
  <si>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</si>
  <si>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</si>
  <si>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</si>
  <si>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</si>
  <si>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</si>
  <si>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</si>
  <si>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</si>
  <si>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</si>
  <si>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</si>
  <si>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</si>
  <si>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</si>
  <si>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</si>
  <si>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</si>
  <si>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</si>
  <si>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</si>
  <si>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</si>
  <si>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</si>
  <si>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</si>
  <si>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</si>
  <si>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</si>
  <si>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</si>
  <si>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</si>
  <si>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</si>
  <si>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</si>
  <si>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</si>
  <si>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</si>
  <si>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</si>
  <si>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</si>
  <si>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</si>
  <si>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</si>
  <si>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</si>
  <si>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</si>
  <si>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</si>
  <si>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</si>
  <si>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</si>
  <si>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</si>
  <si>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</si>
  <si>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</si>
  <si>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</si>
  <si>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</si>
  <si>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</si>
  <si>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</si>
  <si>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</si>
  <si>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</si>
  <si>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</si>
  <si>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</si>
  <si>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</si>
  <si>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</si>
  <si>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</si>
  <si>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</si>
  <si>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</si>
  <si>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</si>
  <si>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</si>
  <si>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</si>
  <si>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</si>
  <si>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</si>
  <si>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</si>
  <si>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</si>
  <si>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</si>
  <si>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</si>
  <si>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</si>
  <si>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</si>
  <si>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</si>
  <si>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</si>
  <si>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</si>
  <si>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</si>
  <si>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</si>
  <si>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</si>
  <si>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</si>
  <si>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</si>
  <si>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</si>
  <si>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</si>
  <si>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</si>
  <si>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</si>
  <si>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</si>
  <si>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</si>
  <si>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</si>
  <si>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</si>
  <si>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</si>
  <si>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</si>
  <si>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</si>
  <si>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</si>
  <si>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</si>
  <si>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</si>
  <si>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</si>
  <si>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</si>
  <si>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</si>
  <si>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</si>
  <si>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</si>
  <si>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</si>
  <si>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</si>
  <si>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</si>
  <si>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</si>
  <si>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</si>
  <si>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</si>
  <si>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</si>
  <si>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</si>
  <si>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</si>
  <si>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</si>
  <si>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</si>
  <si>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</si>
  <si>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</si>
  <si>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</si>
  <si>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</si>
  <si>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</si>
  <si>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</si>
  <si>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</si>
  <si>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</si>
  <si>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</si>
  <si>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</si>
  <si>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</si>
  <si>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</si>
  <si>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</si>
  <si>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</si>
  <si>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</si>
  <si>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</si>
  <si>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</si>
  <si>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</si>
  <si>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</si>
  <si>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</si>
  <si>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</si>
  <si>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</si>
  <si>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</si>
  <si>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</si>
  <si>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</si>
  <si>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</si>
  <si>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</si>
  <si>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</si>
  <si>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</si>
  <si>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</si>
  <si>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</si>
  <si>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</si>
  <si>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</si>
  <si>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</si>
  <si>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</si>
  <si>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</si>
  <si>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</si>
  <si>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</si>
  <si>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</si>
  <si>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</si>
  <si>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</si>
  <si>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</si>
  <si>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</si>
  <si>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</si>
  <si>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</si>
  <si>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</si>
  <si>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</si>
  <si>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</si>
  <si>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</si>
  <si>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</si>
  <si>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</si>
  <si>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</si>
  <si>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</si>
  <si>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</si>
  <si>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</si>
  <si>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</si>
  <si>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</si>
  <si>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</si>
  <si>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</si>
  <si>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</si>
  <si>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</si>
  <si>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</si>
  <si>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</si>
  <si>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</si>
  <si>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</si>
  <si>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</si>
  <si>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</si>
  <si>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</si>
  <si>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</si>
  <si>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</si>
  <si>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</si>
  <si>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</si>
  <si>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</si>
  <si>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</si>
  <si>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</si>
  <si>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</si>
  <si>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</si>
  <si>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</si>
  <si>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</si>
  <si>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</si>
  <si>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</si>
  <si>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</si>
  <si>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</si>
  <si>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</si>
  <si>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</si>
  <si>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</si>
  <si>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</si>
  <si>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</si>
  <si>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</si>
  <si>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</si>
  <si>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</si>
  <si>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</si>
  <si>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</si>
  <si>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</si>
  <si>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</si>
  <si>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</si>
  <si>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</si>
  <si>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</si>
  <si>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</si>
  <si>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</si>
  <si>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</si>
  <si>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</si>
  <si>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</si>
  <si>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</si>
  <si>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</si>
  <si>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</si>
  <si>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</si>
  <si>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</si>
  <si>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</si>
  <si>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</si>
  <si>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</si>
  <si>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</si>
  <si>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</si>
  <si>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</si>
  <si>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</si>
  <si>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</si>
  <si>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</si>
  <si>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</si>
  <si>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</si>
  <si>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</si>
  <si>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</si>
  <si>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</si>
  <si>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</si>
  <si>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</si>
  <si>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</si>
  <si>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</si>
  <si>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</si>
  <si>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</si>
  <si>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</si>
  <si>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</si>
  <si>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</si>
  <si>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</si>
  <si>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</si>
  <si>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</si>
  <si>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</si>
  <si>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</si>
  <si>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</si>
  <si>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</si>
  <si>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</si>
  <si>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</si>
  <si>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</si>
  <si>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</si>
  <si>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</si>
  <si>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</si>
  <si>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</si>
  <si>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</si>
  <si>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</si>
  <si>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</si>
  <si>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</si>
  <si>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</si>
  <si>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</si>
  <si>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</si>
  <si>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</si>
  <si>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</si>
  <si>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</si>
  <si>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</si>
  <si>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</si>
  <si>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</si>
  <si>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</si>
  <si>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</si>
  <si>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</si>
  <si>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</si>
  <si>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</si>
  <si>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</si>
  <si>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</si>
  <si>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</si>
  <si>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</si>
  <si>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</si>
  <si>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</si>
  <si>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</si>
  <si>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</si>
  <si>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</si>
  <si>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</si>
  <si>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</si>
  <si>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</si>
  <si>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</si>
  <si>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</si>
  <si>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</si>
  <si>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</si>
  <si>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</si>
  <si>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</si>
  <si>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</si>
  <si>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</si>
  <si>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</si>
  <si>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</si>
  <si>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</si>
  <si>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</si>
  <si>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</si>
  <si>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</si>
  <si>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</si>
  <si>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</si>
  <si>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</si>
  <si>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</si>
  <si>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</si>
  <si>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</si>
  <si>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</si>
  <si>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</si>
  <si>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</si>
  <si>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</si>
  <si>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</si>
  <si>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</si>
  <si>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</si>
  <si>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</si>
  <si>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</si>
  <si>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</si>
  <si>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</si>
  <si>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</si>
  <si>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</si>
  <si>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</si>
  <si>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</si>
  <si>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</si>
  <si>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</si>
  <si>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</si>
  <si>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</si>
  <si>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</si>
  <si>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</si>
  <si>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</si>
  <si>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</si>
  <si>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</si>
  <si>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</si>
  <si>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</si>
  <si>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</si>
  <si>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</si>
  <si>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</si>
  <si>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</si>
  <si>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</si>
  <si>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</si>
  <si>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</si>
  <si>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</si>
  <si>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</si>
  <si>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</si>
  <si>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</si>
  <si>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</si>
  <si>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</si>
  <si>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</si>
  <si>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</si>
  <si>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</si>
  <si>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</si>
  <si>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</si>
  <si>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</si>
  <si>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</si>
  <si>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</si>
  <si>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</si>
  <si>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</si>
  <si>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</si>
  <si>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</si>
  <si>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</si>
  <si>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</si>
  <si>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</si>
  <si>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</si>
  <si>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</si>
  <si>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</si>
  <si>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</si>
  <si>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</si>
  <si>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</si>
  <si>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</si>
  <si>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</si>
  <si>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</si>
  <si>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</si>
  <si>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</si>
  <si>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</si>
  <si>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</si>
  <si>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</si>
  <si>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</si>
  <si>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</si>
  <si>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</si>
  <si>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</si>
  <si>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</si>
  <si>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</si>
  <si>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</si>
  <si>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</si>
  <si>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</si>
  <si>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</si>
  <si>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</si>
  <si>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</si>
  <si>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</si>
  <si>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</si>
  <si>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</si>
  <si>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</si>
  <si>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</si>
  <si>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</si>
  <si>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</si>
  <si>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</si>
  <si>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</si>
  <si>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</si>
  <si>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</si>
  <si>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</si>
  <si>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</si>
  <si>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</si>
  <si>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</si>
  <si>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</si>
  <si>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</si>
  <si>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</si>
  <si>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</si>
  <si>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</si>
  <si>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</si>
  <si>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</si>
  <si>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</si>
  <si>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</si>
  <si>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</si>
  <si>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</si>
  <si>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</si>
  <si>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</si>
  <si>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</si>
  <si>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</si>
  <si>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</si>
  <si>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</si>
  <si>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</si>
  <si>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</si>
  <si>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</si>
  <si>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</si>
  <si>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</si>
  <si>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</si>
  <si>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</si>
  <si>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</si>
  <si>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</si>
  <si>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</si>
  <si>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</si>
  <si>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</si>
  <si>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</si>
  <si>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</si>
  <si>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</si>
  <si>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</si>
  <si>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</si>
  <si>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</si>
  <si>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</si>
  <si>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</si>
  <si>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</si>
  <si>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</si>
  <si>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</si>
  <si>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</si>
  <si>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</si>
  <si>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</si>
  <si>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</si>
  <si>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</si>
  <si>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</si>
  <si>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</si>
  <si>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</si>
  <si>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</si>
  <si>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</si>
  <si>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</si>
  <si>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</si>
  <si>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</si>
  <si>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</si>
  <si>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</si>
  <si>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</si>
  <si>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</si>
  <si>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</si>
  <si>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</si>
  <si>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</si>
  <si>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</si>
  <si>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</si>
  <si>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</si>
  <si>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</si>
  <si>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</si>
  <si>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</si>
  <si>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</si>
  <si>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</si>
  <si>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</si>
  <si>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</si>
  <si>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</si>
  <si>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</si>
  <si>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</si>
  <si>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</si>
  <si>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</si>
  <si>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</si>
  <si>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</si>
  <si>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</si>
  <si>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</si>
  <si>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</si>
  <si>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</si>
  <si>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</si>
  <si>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</si>
  <si>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</si>
  <si>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</si>
  <si>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</si>
  <si>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</si>
  <si>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</si>
  <si>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</si>
  <si>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</si>
  <si>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</si>
  <si>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</si>
  <si>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</si>
  <si>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</si>
  <si>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</si>
  <si>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</si>
  <si>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</si>
  <si>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</si>
  <si>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</si>
  <si>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</si>
  <si>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</si>
  <si>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</si>
  <si>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</si>
  <si>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</si>
  <si>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</si>
  <si>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</si>
  <si>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</si>
  <si>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</si>
  <si>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</si>
  <si>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</si>
  <si>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</si>
  <si>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</si>
  <si>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</si>
  <si>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</si>
  <si>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</si>
  <si>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</si>
  <si>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</si>
  <si>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</si>
  <si>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</si>
  <si>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</si>
  <si>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</si>
  <si>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</si>
  <si>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</si>
  <si>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</si>
  <si>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</si>
  <si>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</si>
  <si>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</si>
  <si>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</si>
  <si>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</si>
  <si>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</si>
  <si>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</si>
  <si>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</si>
  <si>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</si>
  <si>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</si>
  <si>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</si>
  <si>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</si>
  <si>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</si>
  <si>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</si>
  <si>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</si>
  <si>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</si>
  <si>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</si>
  <si>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</si>
  <si>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</si>
  <si>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</si>
  <si>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</si>
  <si>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</si>
  <si>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</si>
  <si>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</si>
  <si>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</si>
  <si>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</si>
  <si>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</si>
  <si>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</si>
  <si>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</si>
  <si>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</si>
  <si>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</si>
  <si>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</si>
  <si>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</si>
  <si>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</si>
  <si>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</si>
  <si>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</si>
  <si>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</si>
  <si>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</si>
  <si>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</si>
  <si>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</si>
  <si>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</si>
  <si>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</si>
  <si>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</si>
  <si>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</si>
  <si>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</si>
  <si>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</si>
  <si>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</si>
  <si>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</si>
  <si>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</si>
  <si>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</si>
  <si>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</si>
  <si>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</si>
  <si>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</si>
  <si>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</si>
  <si>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</si>
  <si>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</si>
  <si>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</si>
  <si>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</si>
  <si>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</si>
  <si>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</si>
  <si>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</si>
  <si>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</si>
  <si>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</si>
  <si>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</si>
  <si>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</si>
  <si>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</si>
  <si>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</si>
  <si>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</si>
  <si>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</si>
  <si>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</si>
  <si>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</si>
  <si>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</si>
  <si>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</si>
  <si>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</si>
  <si>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</si>
  <si>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</si>
  <si>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</si>
  <si>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</si>
  <si>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</si>
  <si>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</si>
  <si>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</si>
  <si>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</si>
  <si>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</si>
  <si>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</si>
  <si>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</si>
  <si>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</si>
  <si>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</si>
  <si>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</si>
  <si>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</si>
  <si>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</si>
  <si>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</si>
  <si>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</si>
  <si>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</si>
  <si>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</si>
  <si>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</si>
  <si>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</si>
  <si>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</si>
  <si>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</si>
  <si>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</si>
  <si>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</si>
  <si>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</si>
  <si>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</si>
  <si>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</si>
  <si>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</si>
  <si>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</si>
  <si>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</si>
  <si>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</si>
  <si>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</si>
  <si>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</si>
  <si>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</si>
  <si>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</si>
  <si>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</si>
  <si>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</si>
  <si>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</si>
  <si>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</si>
  <si>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</si>
  <si>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</si>
  <si>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</si>
  <si>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</si>
  <si>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</si>
  <si>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</si>
  <si>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</si>
  <si>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</si>
  <si>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</si>
  <si>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</si>
  <si>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</si>
  <si>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</si>
  <si>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</si>
  <si>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</si>
  <si>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</si>
  <si>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</si>
  <si>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</si>
  <si>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</si>
  <si>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</si>
  <si>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</si>
  <si>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</si>
  <si>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</si>
  <si>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</si>
  <si>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</si>
  <si>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</si>
  <si>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</si>
  <si>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</si>
  <si>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</si>
  <si>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</si>
  <si>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</si>
  <si>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</si>
  <si>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</si>
  <si>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</si>
  <si>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</si>
  <si>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</si>
  <si>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</si>
  <si>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</si>
  <si>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</si>
  <si>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</si>
  <si>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</si>
  <si>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</si>
  <si>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</si>
  <si>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</si>
  <si>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</si>
  <si>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</si>
  <si>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</si>
  <si>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</si>
  <si>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</si>
  <si>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</si>
  <si>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</si>
  <si>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</si>
  <si>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</si>
  <si>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</si>
  <si>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</si>
  <si>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</si>
  <si>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</si>
  <si>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</si>
  <si>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</si>
  <si>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</si>
  <si>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</si>
  <si>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</si>
  <si>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</si>
  <si>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</si>
  <si>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</si>
  <si>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</si>
  <si>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</si>
  <si>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</si>
  <si>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</si>
  <si>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</si>
  <si>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</si>
  <si>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</si>
  <si>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</si>
  <si>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</si>
  <si>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</si>
  <si>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</si>
  <si>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</si>
  <si>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</si>
  <si>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</si>
  <si>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</si>
  <si>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</si>
  <si>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</si>
  <si>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</si>
  <si>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</si>
  <si>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</si>
  <si>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</si>
  <si>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</si>
  <si>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</si>
  <si>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</si>
  <si>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</si>
  <si>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</si>
  <si>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</si>
  <si>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</si>
  <si>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</si>
  <si>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</si>
  <si>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</si>
  <si>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</si>
  <si>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</si>
  <si>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</si>
  <si>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</si>
  <si>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</si>
  <si>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</si>
  <si>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</si>
  <si>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</si>
  <si>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</si>
  <si>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</si>
  <si>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</si>
  <si>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</si>
  <si>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</si>
  <si>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</si>
  <si>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</si>
  <si>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</si>
  <si>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</si>
  <si>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</si>
  <si>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</si>
  <si>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</si>
  <si>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</si>
  <si>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</si>
  <si>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</si>
  <si>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</si>
  <si>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</si>
  <si>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</si>
  <si>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</si>
  <si>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</si>
  <si>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</si>
  <si>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</si>
  <si>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</si>
  <si>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</si>
  <si>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</si>
  <si>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</si>
  <si>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</si>
  <si>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</si>
  <si>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</si>
  <si>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</si>
  <si>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</si>
  <si>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</si>
  <si>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</si>
  <si>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</si>
  <si>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</si>
  <si>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</si>
  <si>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</si>
  <si>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</si>
  <si>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</si>
  <si>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</si>
  <si>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</si>
  <si>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</si>
  <si>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</si>
  <si>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</si>
  <si>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</si>
  <si>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</si>
  <si>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</si>
  <si>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</si>
  <si>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</si>
  <si>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</si>
  <si>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</si>
  <si>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</si>
  <si>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</si>
  <si>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</si>
  <si>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</si>
  <si>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</si>
  <si>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</si>
  <si>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</si>
  <si>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</si>
  <si>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</si>
  <si>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</si>
  <si>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</si>
  <si>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</si>
  <si>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</si>
  <si>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</si>
  <si>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</si>
  <si>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</si>
  <si>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</si>
  <si>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</si>
  <si>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</si>
  <si>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</si>
  <si>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</si>
  <si>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</si>
  <si>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</si>
  <si>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</si>
  <si>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</si>
  <si>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</si>
  <si>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</si>
  <si>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</si>
  <si>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</si>
  <si>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</si>
  <si>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</si>
  <si>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</si>
  <si>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</si>
  <si>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</si>
  <si>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</si>
  <si>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</si>
  <si>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</si>
  <si>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</si>
  <si>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</si>
  <si>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</si>
  <si>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</si>
  <si>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</si>
  <si>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</si>
  <si>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</si>
  <si>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</si>
  <si>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</si>
  <si>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</si>
  <si>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</si>
  <si>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</si>
  <si>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</si>
  <si>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</si>
  <si>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</si>
  <si>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</si>
  <si>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</si>
  <si>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</si>
  <si>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</si>
  <si>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</si>
  <si>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</si>
  <si>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</si>
  <si>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</si>
  <si>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</si>
  <si>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</si>
  <si>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</si>
  <si>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</si>
  <si>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</si>
  <si>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</si>
  <si>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</si>
  <si>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</si>
  <si>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</si>
  <si>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</si>
  <si>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</si>
  <si>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</si>
  <si>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</si>
  <si>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</si>
  <si>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</si>
  <si>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</si>
  <si>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</si>
  <si>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</si>
  <si>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</si>
  <si>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</si>
  <si>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</si>
  <si>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</si>
  <si>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</si>
  <si>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</si>
  <si>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</si>
  <si>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</si>
  <si>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</si>
  <si>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</si>
  <si>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</si>
  <si>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</si>
  <si>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</si>
  <si>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</si>
  <si>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</si>
  <si>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</si>
  <si>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</si>
  <si>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</si>
  <si>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</si>
  <si>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</si>
  <si>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</si>
  <si>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</si>
  <si>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</si>
  <si>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</si>
  <si>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</si>
  <si>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</si>
  <si>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</si>
  <si>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</si>
  <si>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</si>
  <si>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</si>
  <si>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</si>
  <si>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</si>
  <si>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</si>
  <si>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</si>
  <si>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</si>
  <si>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</si>
  <si>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</si>
  <si>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</si>
  <si>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</si>
  <si>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</si>
  <si>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</si>
  <si>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</si>
  <si>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</si>
  <si>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</si>
  <si>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</si>
  <si>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</si>
  <si>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</si>
  <si>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</si>
  <si>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</si>
  <si>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</si>
  <si>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</si>
  <si>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</si>
  <si>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</si>
  <si>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</si>
  <si>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</si>
  <si>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</si>
  <si>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</si>
  <si>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</si>
  <si>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</si>
  <si>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</si>
  <si>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</si>
  <si>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</si>
  <si>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</si>
  <si>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</si>
  <si>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</si>
  <si>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</si>
  <si>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</si>
  <si>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</si>
  <si>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</si>
  <si>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</si>
  <si>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</si>
  <si>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</si>
  <si>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</si>
  <si>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</si>
  <si>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</si>
  <si>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</si>
  <si>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</si>
  <si>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</si>
  <si>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</si>
  <si>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</si>
  <si>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</si>
  <si>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</si>
  <si>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</si>
  <si>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</si>
  <si>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</si>
  <si>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</si>
  <si>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</si>
  <si>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</si>
  <si>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</si>
  <si>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</si>
  <si>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</si>
  <si>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</si>
  <si>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</si>
  <si>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</si>
  <si>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</si>
  <si>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</si>
  <si>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</si>
  <si>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</si>
  <si>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</si>
  <si>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</si>
  <si>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</si>
  <si>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</si>
  <si>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</si>
  <si>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</si>
  <si>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</si>
  <si>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</si>
  <si>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</si>
  <si>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</si>
  <si>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</si>
  <si>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F173335</t>
  </si>
  <si>
    <t>KJLTVR111180R01</t>
  </si>
  <si>
    <t>LTVR1</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</si>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</sst>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58.800000000000004</c:v>
                </c:pt>
                <c:pt idx="2">
                  <c:v>43</c:v>
                </c:pt>
                <c:pt idx="3">
                  <c:v>43</c:v>
                </c:pt>
                <c:pt idx="4">
                  <c:v>34</c:v>
                </c:pt>
                <c:pt idx="6">
                  <c:v>39.4</c:v>
                </c:pt>
                <c:pt idx="7">
                  <c:v>39.4</c:v>
                </c:pt>
                <c:pt idx="8">
                  <c:v>16.3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55.519045966465015</c:v>
                </c:pt>
              </c:numCache>
            </c:numRef>
          </c:xVal>
          <c:yVal>
            <c:numRef>
              <c:f>'Diagram Data'!$F$25</c:f>
              <c:numCache>
                <c:formatCode>0.00</c:formatCode>
                <c:ptCount val="1"/>
                <c:pt idx="0">
                  <c:v>577.34286119816602</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55.4887589824203</c:v>
                </c:pt>
              </c:numCache>
            </c:numRef>
          </c:xVal>
          <c:yVal>
            <c:numRef>
              <c:f>'Diagram Data'!$F$29</c:f>
              <c:numCache>
                <c:formatCode>0.00</c:formatCode>
                <c:ptCount val="1"/>
                <c:pt idx="0">
                  <c:v>577.34286119816602</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891840"/>
        <c:axId val="75893760"/>
      </c:scatterChart>
      <c:valAx>
        <c:axId val="758918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3760"/>
        <c:crosses val="autoZero"/>
        <c:crossBetween val="midCat"/>
      </c:valAx>
      <c:valAx>
        <c:axId val="758937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18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12.756485135427388</c:v>
                </c:pt>
              </c:numCache>
            </c:numRef>
          </c:xVal>
          <c:yVal>
            <c:numRef>
              <c:f>'Diagram Data'!$F$33</c:f>
              <c:numCache>
                <c:formatCode>0.00</c:formatCode>
                <c:ptCount val="1"/>
                <c:pt idx="0">
                  <c:v>241.41696422235677</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945472"/>
        <c:axId val="75947392"/>
      </c:scatterChart>
      <c:valAx>
        <c:axId val="7594547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47392"/>
        <c:crosses val="autoZero"/>
        <c:crossBetween val="midCat"/>
      </c:valAx>
      <c:valAx>
        <c:axId val="7594739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4547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55.471801935930586</c:v>
                </c:pt>
                <c:pt idx="1">
                  <c:v>55.373367833149032</c:v>
                </c:pt>
                <c:pt idx="2">
                  <c:v>54.611543882674518</c:v>
                </c:pt>
                <c:pt idx="3">
                  <c:v>53.414169870068434</c:v>
                </c:pt>
                <c:pt idx="4">
                  <c:v>52.130757929811097</c:v>
                </c:pt>
                <c:pt idx="5">
                  <c:v>51.109672504887428</c:v>
                </c:pt>
                <c:pt idx="6">
                  <c:v>50.598823704993521</c:v>
                </c:pt>
                <c:pt idx="7">
                  <c:v>50.705537940915789</c:v>
                </c:pt>
                <c:pt idx="8">
                  <c:v>51.398651292150255</c:v>
                </c:pt>
                <c:pt idx="9">
                  <c:v>52.518913100564788</c:v>
                </c:pt>
                <c:pt idx="10">
                  <c:v>53.793978980186317</c:v>
                </c:pt>
                <c:pt idx="11">
                  <c:v>54.883896704076818</c:v>
                </c:pt>
                <c:pt idx="12">
                  <c:v>55.471801935930586</c:v>
                </c:pt>
                <c:pt idx="13">
                  <c:v>55.373367833149032</c:v>
                </c:pt>
                <c:pt idx="14">
                  <c:v>54.611543882674518</c:v>
                </c:pt>
                <c:pt idx="15">
                  <c:v>53.414169870068434</c:v>
                </c:pt>
                <c:pt idx="16">
                  <c:v>52.130757929811097</c:v>
                </c:pt>
                <c:pt idx="17">
                  <c:v>51.109672504887421</c:v>
                </c:pt>
                <c:pt idx="18">
                  <c:v>50.598823704993521</c:v>
                </c:pt>
                <c:pt idx="19">
                  <c:v>50.705537940915782</c:v>
                </c:pt>
                <c:pt idx="20">
                  <c:v>51.398651292150262</c:v>
                </c:pt>
                <c:pt idx="21">
                  <c:v>52.518913100564788</c:v>
                </c:pt>
                <c:pt idx="22">
                  <c:v>53.79397898018631</c:v>
                </c:pt>
                <c:pt idx="23">
                  <c:v>54.883896704076832</c:v>
                </c:pt>
                <c:pt idx="24">
                  <c:v>55.471801935930586</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47.897270180382435</c:v>
                </c:pt>
                <c:pt idx="1">
                  <c:v>47.869349973195014</c:v>
                </c:pt>
                <c:pt idx="2">
                  <c:v>48.846397205755764</c:v>
                </c:pt>
                <c:pt idx="3">
                  <c:v>50.566612861132974</c:v>
                </c:pt>
                <c:pt idx="4">
                  <c:v>52.569066543660938</c:v>
                </c:pt>
                <c:pt idx="5">
                  <c:v>54.317202406225576</c:v>
                </c:pt>
                <c:pt idx="6">
                  <c:v>55.342608856192783</c:v>
                </c:pt>
                <c:pt idx="7">
                  <c:v>55.370529063380218</c:v>
                </c:pt>
                <c:pt idx="8">
                  <c:v>54.393481830819454</c:v>
                </c:pt>
                <c:pt idx="9">
                  <c:v>52.673266175442251</c:v>
                </c:pt>
                <c:pt idx="10">
                  <c:v>50.670812492914287</c:v>
                </c:pt>
                <c:pt idx="11">
                  <c:v>48.922676630349656</c:v>
                </c:pt>
                <c:pt idx="12">
                  <c:v>47.897270180382435</c:v>
                </c:pt>
                <c:pt idx="13">
                  <c:v>47.869349973195014</c:v>
                </c:pt>
                <c:pt idx="14">
                  <c:v>48.846397205755764</c:v>
                </c:pt>
                <c:pt idx="15">
                  <c:v>50.566612861132974</c:v>
                </c:pt>
                <c:pt idx="16">
                  <c:v>52.569066543660938</c:v>
                </c:pt>
                <c:pt idx="17">
                  <c:v>54.317202406225576</c:v>
                </c:pt>
                <c:pt idx="18">
                  <c:v>55.342608856192783</c:v>
                </c:pt>
                <c:pt idx="19">
                  <c:v>55.370529063380211</c:v>
                </c:pt>
                <c:pt idx="20">
                  <c:v>54.393481830819461</c:v>
                </c:pt>
                <c:pt idx="21">
                  <c:v>52.673266175442251</c:v>
                </c:pt>
                <c:pt idx="22">
                  <c:v>50.670812492914287</c:v>
                </c:pt>
                <c:pt idx="23">
                  <c:v>48.922676630349656</c:v>
                </c:pt>
                <c:pt idx="24">
                  <c:v>47.897270180382435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5.436883302861192</c:v>
                </c:pt>
              </c:numCache>
            </c:numRef>
          </c:xVal>
          <c:yVal>
            <c:numRef>
              <c:f>'Payload Input'!$J$89</c:f>
              <c:numCache>
                <c:formatCode>General</c:formatCode>
                <c:ptCount val="1"/>
                <c:pt idx="0">
                  <c:v>55.519045966465015</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97.899411580895787</c:v>
                </c:pt>
              </c:numCache>
            </c:numRef>
          </c:xVal>
          <c:yVal>
            <c:numRef>
              <c:f>'Payload Input'!$K$90</c:f>
              <c:numCache>
                <c:formatCode>General</c:formatCode>
                <c:ptCount val="1"/>
                <c:pt idx="0">
                  <c:v>55.4887589824203</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12.756485135427388</c:v>
                </c:pt>
              </c:numCache>
            </c:numRef>
          </c:yVal>
          <c:smooth val="1"/>
        </c:ser>
        <c:dLbls>
          <c:showLegendKey val="0"/>
          <c:showVal val="0"/>
          <c:showCatName val="0"/>
          <c:showSerName val="0"/>
          <c:showPercent val="0"/>
          <c:showBubbleSize val="0"/>
        </c:dLbls>
        <c:axId val="80532992"/>
        <c:axId val="80534912"/>
      </c:scatterChart>
      <c:valAx>
        <c:axId val="8053299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0534912"/>
        <c:crosses val="autoZero"/>
        <c:crossBetween val="midCat"/>
      </c:valAx>
      <c:valAx>
        <c:axId val="8053491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053299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472"/>
        <c:axId val="91795456"/>
      </c:scatterChart>
      <c:valAx>
        <c:axId val="91785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5456"/>
        <c:crosses val="autoZero"/>
        <c:crossBetween val="midCat"/>
      </c:valAx>
      <c:valAx>
        <c:axId val="91795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6" sqref="C16"/>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127</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-4.3897270000000002E-2</v>
      </c>
      <c r="F13" s="785" t="s">
        <v>3913</v>
      </c>
      <c r="G13" s="151"/>
      <c r="H13" s="170" t="str">
        <f>'Wrist Load Analysis'!R16</f>
        <v>OK</v>
      </c>
    </row>
    <row r="14" spans="1:8" ht="13.5" thickBot="1">
      <c r="B14" s="163" t="str">
        <f>HLOOKUP(Anal_Payload_Code,Unit_text,5)</f>
        <v>Payload Center Y (m)</v>
      </c>
      <c r="C14" s="338">
        <v>-0.1889391</v>
      </c>
      <c r="F14" s="786" t="s">
        <v>3914</v>
      </c>
      <c r="G14" s="70"/>
      <c r="H14" s="443" t="str">
        <f>'Wrist Load Analysis'!R17</f>
        <v>OK</v>
      </c>
    </row>
    <row r="15" spans="1:8">
      <c r="B15" s="163" t="str">
        <f>IF(Axis_Type=1,"--------------------------------",HLOOKUP(Anal_Payload_Code,Unit_text,6))</f>
        <v>Payload Center Z (m)</v>
      </c>
      <c r="C15" s="338">
        <v>0.1863764</v>
      </c>
      <c r="F15" s="444"/>
      <c r="G15" s="169"/>
      <c r="H15" s="169"/>
    </row>
    <row r="16" spans="1:8">
      <c r="A16" s="264"/>
      <c r="B16" s="163" t="str">
        <f>HLOOKUP(Anal_Payload_Code,Unit_text,7)</f>
        <v>Payload Inertia Ix (Kg.m^2)</v>
      </c>
      <c r="C16" s="338">
        <v>28.25909</v>
      </c>
      <c r="E16" s="264"/>
      <c r="F16" s="5"/>
      <c r="G16" s="151"/>
      <c r="H16" s="151"/>
    </row>
    <row r="17" spans="1:8" ht="13.5" thickBot="1">
      <c r="B17" s="265" t="str">
        <f>HLOOKUP(Anal_Payload_Code,Unit_text,8)</f>
        <v>Payload Inertia Iy (Kg.m^2)</v>
      </c>
      <c r="C17" s="339">
        <v>25.10267</v>
      </c>
      <c r="D17" s="264"/>
      <c r="F17" s="12"/>
      <c r="G17" s="263"/>
      <c r="H17" s="263"/>
    </row>
    <row r="18" spans="1:8" ht="16.149999999999999" customHeight="1" thickBot="1">
      <c r="B18" s="412" t="str">
        <f>IF(Axis_Type=1,"--------------------------------",HLOOKUP(Anal_Payload_Code,Unit_text,9))</f>
        <v>Payload Inertia Iz (Kg.m^2)</v>
      </c>
      <c r="C18" s="548">
        <v>7.978116</v>
      </c>
      <c r="F18" s="780" t="s">
        <v>3956</v>
      </c>
      <c r="G18" s="168"/>
      <c r="H18" s="167"/>
    </row>
    <row r="19" spans="1:8" ht="16.5" thickBot="1">
      <c r="A19" s="264"/>
      <c r="C19" s="192"/>
      <c r="D19" s="192"/>
      <c r="E19" s="264"/>
      <c r="F19" s="789" t="s">
        <v>4037</v>
      </c>
      <c r="G19" s="171"/>
      <c r="H19" s="325">
        <f>'Wrist Load Analysis'!R20</f>
        <v>58.800000000000004</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127</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43</v>
      </c>
    </row>
    <row r="23" spans="1:8">
      <c r="B23" s="785" t="s">
        <v>3942</v>
      </c>
      <c r="C23" s="336">
        <f>VLOOKUP('Misc Data'!$B$26,Table1,6)</f>
        <v>1333</v>
      </c>
      <c r="D23" s="365">
        <f>'Wrist Load Analysis'!R7</f>
        <v>577.34286119816602</v>
      </c>
      <c r="F23" s="785" t="s">
        <v>3959</v>
      </c>
      <c r="G23" s="380"/>
      <c r="H23" s="442">
        <f>'Wrist Load Analysis'!R23</f>
        <v>43</v>
      </c>
    </row>
    <row r="24" spans="1:8" ht="13.5" thickBot="1">
      <c r="A24" s="264"/>
      <c r="B24" s="785" t="s">
        <v>3943</v>
      </c>
      <c r="C24" s="336">
        <f>VLOOKUP('Misc Data'!$B$26,Table1,7)</f>
        <v>1333</v>
      </c>
      <c r="D24" s="365">
        <f>'Wrist Load Analysis'!R8</f>
        <v>577.34286119816602</v>
      </c>
      <c r="E24" s="264"/>
      <c r="F24" s="786" t="s">
        <v>3960</v>
      </c>
      <c r="G24" s="381"/>
      <c r="H24" s="327">
        <f>IF(Axis_Count=1,"-",'Wrist Load Analysis'!R24)</f>
        <v>34</v>
      </c>
    </row>
    <row r="25" spans="1:8">
      <c r="A25" s="264"/>
      <c r="B25" s="785" t="s">
        <v>3944</v>
      </c>
      <c r="C25" s="336">
        <f>VLOOKUP('Misc Data'!$B$26,Table1,8)</f>
        <v>706</v>
      </c>
      <c r="D25" s="365">
        <f>IF(Axis_Count=1,"-",'Wrist Load Analysis'!R9)</f>
        <v>241.41696422235677</v>
      </c>
      <c r="E25" s="264"/>
      <c r="F25" s="791" t="s">
        <v>3961</v>
      </c>
      <c r="G25" s="172"/>
      <c r="H25" s="363"/>
    </row>
    <row r="26" spans="1:8">
      <c r="A26" s="264"/>
      <c r="B26" s="785" t="s">
        <v>3945</v>
      </c>
      <c r="C26" s="336">
        <f>VLOOKUP('Misc Data'!$B$26,Table1,9)</f>
        <v>141.1</v>
      </c>
      <c r="D26" s="365">
        <f>'Wrist Load Analysis'!R10</f>
        <v>55.519045966465015</v>
      </c>
      <c r="E26" s="264"/>
      <c r="F26" s="785" t="s">
        <v>3958</v>
      </c>
      <c r="G26" s="266"/>
      <c r="H26" s="326">
        <f>'Wrist Load Analysis'!R26</f>
        <v>39.4</v>
      </c>
    </row>
    <row r="27" spans="1:8">
      <c r="A27" s="264"/>
      <c r="B27" s="785" t="s">
        <v>3946</v>
      </c>
      <c r="C27" s="336">
        <f>VLOOKUP('Misc Data'!$B$26,Table1,10)</f>
        <v>141.1</v>
      </c>
      <c r="D27" s="365">
        <f>'Wrist Load Analysis'!R11</f>
        <v>55.4887589824203</v>
      </c>
      <c r="E27" s="264"/>
      <c r="F27" s="785" t="s">
        <v>3959</v>
      </c>
      <c r="G27" s="267"/>
      <c r="H27" s="326">
        <f>'Wrist Load Analysis'!R27</f>
        <v>39.4</v>
      </c>
    </row>
    <row r="28" spans="1:8" ht="13.5" thickBot="1">
      <c r="A28" s="264"/>
      <c r="B28" s="786" t="s">
        <v>3947</v>
      </c>
      <c r="C28" s="544">
        <f>VLOOKUP('Misc Data'!$B$26,Table1,11)</f>
        <v>78.400000000000006</v>
      </c>
      <c r="D28" s="545">
        <f>IF(Axis_Count=1,"-",'Wrist Load Analysis'!R12)</f>
        <v>12.756485135427388</v>
      </c>
      <c r="E28" s="264"/>
      <c r="F28" s="786" t="s">
        <v>3960</v>
      </c>
      <c r="G28" s="268"/>
      <c r="H28" s="327">
        <f>IF(Axis_Count=1,"-",'Wrist Load Analysis'!R28)</f>
        <v>16.3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R-2000iB/210F</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F173335</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KJLTVR111180R01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LTVR1</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2 - LLENA</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127</v>
      </c>
      <c r="G9" s="355"/>
      <c r="H9" s="345"/>
      <c r="I9" s="345"/>
    </row>
    <row r="10" spans="1:12" ht="13.5">
      <c r="A10" s="345"/>
      <c r="B10" s="353"/>
      <c r="C10" s="356">
        <v>3</v>
      </c>
      <c r="D10" s="354" t="s">
        <v>3756</v>
      </c>
      <c r="E10" s="354" t="str">
        <f>IF($E$22=TRUE,"[m]","[cm]")</f>
        <v>[cm]</v>
      </c>
      <c r="F10" s="357">
        <f>IF(Load_Set_2=FALSE,"-",IF($E$22=TRUE,Load_Set_2/100,Load_Set_2))</f>
        <v>-4.3899999999999997</v>
      </c>
      <c r="G10" s="355"/>
      <c r="H10" s="345"/>
      <c r="I10" s="345"/>
    </row>
    <row r="11" spans="1:12" ht="13.5">
      <c r="A11" s="345"/>
      <c r="B11" s="353"/>
      <c r="C11" s="356">
        <v>4</v>
      </c>
      <c r="D11" s="354" t="s">
        <v>3011</v>
      </c>
      <c r="E11" s="354" t="str">
        <f>IF($E$22=TRUE,"[m]","[cm]")</f>
        <v>[cm]</v>
      </c>
      <c r="F11" s="357">
        <f>IF(Load_Set_3=FALSE,"-",IF($E$22=TRUE,Load_Set_3/100,Load_Set_3))</f>
        <v>-18.893999999999998</v>
      </c>
      <c r="G11" s="355"/>
      <c r="H11" s="345"/>
      <c r="I11" s="345"/>
    </row>
    <row r="12" spans="1:12" ht="13.5">
      <c r="A12" s="345"/>
      <c r="B12" s="447"/>
      <c r="C12" s="356">
        <v>5</v>
      </c>
      <c r="D12" s="354" t="s">
        <v>350</v>
      </c>
      <c r="E12" s="354" t="str">
        <f>IF($E$22=TRUE,"[m]","[cm]")</f>
        <v>[cm]</v>
      </c>
      <c r="F12" s="357">
        <f>IF(Load_Set_4=FALSE,"-",IF($E$22=TRUE,Load_Set_4/100,Load_Set_4))</f>
        <v>18.638000000000002</v>
      </c>
      <c r="G12" s="355"/>
      <c r="H12" s="345"/>
      <c r="I12" s="345"/>
    </row>
    <row r="13" spans="1:12" ht="13.5">
      <c r="A13" s="345"/>
      <c r="B13" s="353"/>
      <c r="C13" s="356">
        <v>6</v>
      </c>
      <c r="D13" s="354" t="s">
        <v>1116</v>
      </c>
      <c r="E13" s="354" t="str">
        <f>IF($E$22=TRUE,"[kgm^2]","[kgfcms^2]")</f>
        <v>[kgfcms^2]</v>
      </c>
      <c r="F13" s="357">
        <f>IF(Load_Set_5=FALSE,"-",IF($E$22=TRUE,Load_Set_5*0.098,Load_Set_5))</f>
        <v>288.358</v>
      </c>
      <c r="G13" s="355"/>
      <c r="H13" s="345"/>
      <c r="I13" s="345"/>
    </row>
    <row r="14" spans="1:12" ht="13.5">
      <c r="A14" s="345"/>
      <c r="B14" s="353"/>
      <c r="C14" s="356">
        <v>7</v>
      </c>
      <c r="D14" s="354" t="s">
        <v>1847</v>
      </c>
      <c r="E14" s="354" t="str">
        <f>IF($E$22=TRUE,"[kgm^2]","[kgfcms^2]")</f>
        <v>[kgfcms^2]</v>
      </c>
      <c r="F14" s="357">
        <f>IF(Load_Set_6=FALSE,"-",IF($E$22=TRUE,Load_Set_6*0.098,Load_Set_6))</f>
        <v>256.14999999999998</v>
      </c>
      <c r="G14" s="355"/>
      <c r="H14" s="345"/>
      <c r="I14" s="345"/>
    </row>
    <row r="15" spans="1:12" ht="13.5">
      <c r="A15" s="345"/>
      <c r="B15" s="353"/>
      <c r="C15" s="356">
        <v>8</v>
      </c>
      <c r="D15" s="354" t="s">
        <v>3012</v>
      </c>
      <c r="E15" s="354" t="str">
        <f>IF($E$22=TRUE,"[kgm^2]","[kgfcms^2]")</f>
        <v>[kgfcms^2]</v>
      </c>
      <c r="F15" s="357">
        <f>IF(Load_Set_7=FALSE,"-",IF($E$22=TRUE,Load_Set_7*0.098,Load_Set_7))</f>
        <v>81.409000000000006</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127</v>
      </c>
      <c r="H6" s="625" t="s">
        <v>2962</v>
      </c>
      <c r="I6" s="551">
        <f>IF((Anal_Payload_Code=1),Anal_Input_1,IF((Anal_Payload_Code=2),Anal_Input_1,0))</f>
        <v>127</v>
      </c>
      <c r="J6" s="551">
        <f>IF((Anal_Payload_Code=1),Anal_Input_1,IF((Anal_Payload_Code=2),Anal_Input_1,0))</f>
        <v>127</v>
      </c>
      <c r="K6" s="551">
        <f>IF((Anal_Payload_Code=1),Anal_Input_1,IF((Anal_Payload_Code=2),Anal_Input_1,0))</f>
        <v>127</v>
      </c>
      <c r="L6" s="7"/>
    </row>
    <row r="7" spans="2:18">
      <c r="B7" s="8" t="s">
        <v>2963</v>
      </c>
      <c r="C7" s="626">
        <f t="shared" ref="C7:C12" si="0">IF(Anal_Robot_Code=10105,J7,IF(Anal_Robot_Code=10112,J7,IF(Anal_Robot_Code=10111,K7,I7)))</f>
        <v>-4.3897270000000002E-2</v>
      </c>
      <c r="D7" s="290"/>
      <c r="E7" s="290"/>
      <c r="H7" s="8" t="s">
        <v>2963</v>
      </c>
      <c r="I7" s="551">
        <f>IF((Anal_Payload_Code=1),Anal_Input_2,IF((Anal_Payload_Code=2),Anal_Input_2*0.01,0))</f>
        <v>-4.3897270000000002E-2</v>
      </c>
      <c r="J7" s="552">
        <f>(0.007+L9)*SIN(RADIANS(30))+L7*COS(RADIANS(30))</f>
        <v>5.8672049023215461E-2</v>
      </c>
      <c r="K7" s="552">
        <f>(0.01+L9)*SIN(RADIANS(30))+L7*COS(RADIANS(30))</f>
        <v>6.0172049023215463E-2</v>
      </c>
      <c r="L7" s="439">
        <f>IF((Anal_Payload_Code=1),Anal_Input_2,IF((Anal_Payload_Code=2),Anal_Input_2*0.01,0))</f>
        <v>-4.3897270000000002E-2</v>
      </c>
    </row>
    <row r="8" spans="2:18">
      <c r="B8" s="8" t="s">
        <v>2964</v>
      </c>
      <c r="C8" s="626">
        <f t="shared" si="0"/>
        <v>-0.1889391</v>
      </c>
      <c r="D8" s="290"/>
      <c r="E8" s="290"/>
      <c r="H8" s="8" t="s">
        <v>2964</v>
      </c>
      <c r="I8" s="551">
        <f>IF((Anal_Payload_Code=1),Anal_Input_3,IF((Anal_Payload_Code=2),Anal_Input_3*0.01,0))</f>
        <v>-0.1889391</v>
      </c>
      <c r="J8" s="551">
        <f>IF((Anal_Payload_Code=1),Anal_Input_3,IF((Anal_Payload_Code=2),Anal_Input_3*0.01,0))</f>
        <v>-0.1889391</v>
      </c>
      <c r="K8" s="551">
        <f>IF((Anal_Payload_Code=1),Anal_Input_3,IF((Anal_Payload_Code=2),Anal_Input_3*0.01,0))</f>
        <v>-0.1889391</v>
      </c>
      <c r="L8" s="7"/>
    </row>
    <row r="9" spans="2:18">
      <c r="B9" s="8" t="s">
        <v>840</v>
      </c>
      <c r="C9" s="626">
        <f t="shared" si="0"/>
        <v>0.1863764</v>
      </c>
      <c r="D9" s="290"/>
      <c r="E9" s="290"/>
      <c r="H9" s="8" t="s">
        <v>840</v>
      </c>
      <c r="I9" s="551">
        <f>IF((Anal_Payload_Code=1),Anal_Input_4,IF((Anal_Payload_Code=2),Anal_Input_4*0.01,0))</f>
        <v>0.1863764</v>
      </c>
      <c r="J9" s="552">
        <f>(0.007+L9)*COS(RADIANS(30))-L7*SIN(RADIANS(30))</f>
        <v>0.18941750989238113</v>
      </c>
      <c r="K9" s="552">
        <f>(0.01+L9)*COS(RADIANS(30))-L7*SIN(RADIANS(30))</f>
        <v>0.19201558610373445</v>
      </c>
      <c r="L9" s="439">
        <f>IF((Anal_Payload_Code=1),Anal_Input_4,IF((Anal_Payload_Code=2),Anal_Input_4*0.01,0))</f>
        <v>0.1863764</v>
      </c>
    </row>
    <row r="10" spans="2:18">
      <c r="B10" s="8" t="s">
        <v>2965</v>
      </c>
      <c r="C10" s="626">
        <f t="shared" si="0"/>
        <v>28.25909</v>
      </c>
      <c r="D10" s="290"/>
      <c r="E10" s="290"/>
      <c r="H10" s="8" t="s">
        <v>2965</v>
      </c>
      <c r="I10" s="551">
        <f>IF((Anal_Payload_Code=1),Anal_Input_5,IF((Anal_Payload_Code=2),Anal_Input_5*0.098,0))</f>
        <v>28.25909</v>
      </c>
      <c r="J10" s="552">
        <f>L10*(COS(RADIANS(30)))^2+L12*(SIN(RADIANS(30)))^2</f>
        <v>23.188846500000004</v>
      </c>
      <c r="K10" s="552">
        <f>L10*(COS(RADIANS(30)))^2+L12*(SIN(RADIANS(30)))^2</f>
        <v>23.188846500000004</v>
      </c>
      <c r="L10" s="439">
        <f>IF((Anal_Payload_Code=1),Anal_Input_5,IF((Anal_Payload_Code=2),Anal_Input_5*0.098,0))</f>
        <v>28.25909</v>
      </c>
    </row>
    <row r="11" spans="2:18">
      <c r="B11" s="8" t="s">
        <v>2362</v>
      </c>
      <c r="C11" s="626">
        <f t="shared" si="0"/>
        <v>25.10267</v>
      </c>
      <c r="D11" s="290"/>
      <c r="E11" s="290"/>
      <c r="H11" s="8" t="s">
        <v>2362</v>
      </c>
      <c r="I11" s="551">
        <f>IF((Anal_Payload_Code=1),Anal_Input_6,IF((Anal_Payload_Code=2),Anal_Input_6*0.098,0))</f>
        <v>25.10267</v>
      </c>
      <c r="J11" s="551">
        <f>IF((Anal_Payload_Code=1),Anal_Input_6,IF((Anal_Payload_Code=2),Anal_Input_6*0.098,0))</f>
        <v>25.10267</v>
      </c>
      <c r="K11" s="551">
        <f>IF((Anal_Payload_Code=1),Anal_Input_6,IF((Anal_Payload_Code=2),Anal_Input_6*0.098,0))</f>
        <v>25.10267</v>
      </c>
      <c r="L11" s="7"/>
    </row>
    <row r="12" spans="2:18">
      <c r="B12" s="8" t="s">
        <v>2363</v>
      </c>
      <c r="C12" s="626">
        <f t="shared" si="0"/>
        <v>7.978116</v>
      </c>
      <c r="D12" s="290"/>
      <c r="E12" s="290"/>
      <c r="H12" s="8" t="s">
        <v>2363</v>
      </c>
      <c r="I12" s="551">
        <f>IF((Anal_Payload_Code=1),Anal_Input_7,IF((Anal_Payload_Code=2),Anal_Input_7*0.098,0))</f>
        <v>7.978116</v>
      </c>
      <c r="J12" s="552">
        <f>L12*(COS(RADIANS(30)))^2+L10*(SIN(RADIANS(30)))^2</f>
        <v>13.0483595</v>
      </c>
      <c r="K12" s="552">
        <f>L12*(COS(RADIANS(30)))^2+L10*(SIN(RADIANS(30)))^2</f>
        <v>13.0483595</v>
      </c>
      <c r="L12" s="439">
        <f>IF((Anal_Payload_Code=1),Anal_Input_7,IF((Anal_Payload_Code=2),Anal_Input_7*0.098,0))</f>
        <v>7.978116</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127</v>
      </c>
      <c r="Y18" s="634"/>
    </row>
    <row r="19" spans="2:27" s="625" customFormat="1" ht="15" thickBot="1">
      <c r="B19" s="635"/>
      <c r="C19" s="631" t="s">
        <v>1863</v>
      </c>
      <c r="D19" s="632" t="s">
        <v>1861</v>
      </c>
      <c r="E19" s="633">
        <f t="shared" ref="E19:E24" si="1">C7</f>
        <v>-4.3897270000000002E-2</v>
      </c>
      <c r="Y19" s="634"/>
    </row>
    <row r="20" spans="2:27" s="625" customFormat="1" ht="15" thickBot="1">
      <c r="B20" s="636" t="s">
        <v>3276</v>
      </c>
      <c r="C20" s="631" t="s">
        <v>3277</v>
      </c>
      <c r="D20" s="632" t="s">
        <v>1861</v>
      </c>
      <c r="E20" s="633">
        <f t="shared" si="1"/>
        <v>-0.1889391</v>
      </c>
      <c r="Y20" s="634"/>
    </row>
    <row r="21" spans="2:27" s="625" customFormat="1" ht="15" thickBot="1">
      <c r="B21" s="637"/>
      <c r="C21" s="631" t="s">
        <v>3278</v>
      </c>
      <c r="D21" s="632" t="s">
        <v>1861</v>
      </c>
      <c r="E21" s="633">
        <f t="shared" si="1"/>
        <v>0.1863764</v>
      </c>
      <c r="Y21" s="634"/>
    </row>
    <row r="22" spans="2:27" s="625" customFormat="1" ht="15" thickBot="1">
      <c r="B22" s="638"/>
      <c r="C22" s="631" t="s">
        <v>3279</v>
      </c>
      <c r="D22" s="632" t="s">
        <v>3280</v>
      </c>
      <c r="E22" s="633">
        <f t="shared" si="1"/>
        <v>28.25909</v>
      </c>
      <c r="Y22" s="634"/>
      <c r="AA22" s="639"/>
    </row>
    <row r="23" spans="2:27" s="625" customFormat="1" ht="15" thickBot="1">
      <c r="B23" s="636" t="s">
        <v>3281</v>
      </c>
      <c r="C23" s="631" t="s">
        <v>3282</v>
      </c>
      <c r="D23" s="632" t="s">
        <v>3280</v>
      </c>
      <c r="E23" s="633">
        <f t="shared" si="1"/>
        <v>25.10267</v>
      </c>
      <c r="Y23" s="634"/>
    </row>
    <row r="24" spans="2:27" s="625" customFormat="1" ht="15" thickBot="1">
      <c r="B24" s="640"/>
      <c r="C24" s="631" t="s">
        <v>3283</v>
      </c>
      <c r="D24" s="632" t="s">
        <v>3280</v>
      </c>
      <c r="E24" s="633">
        <f t="shared" si="1"/>
        <v>7.978116</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577.34286119816602</v>
      </c>
      <c r="F31" s="643">
        <f>SQRT((SQRT($E$19^2+$E$20^2)+SQRT(($E$27+$E$28*COS($P$31*PI()/180))^2+$E$28^2*SIN($P$31*PI()/180)^2))^2+($E$21+$E$26)^2)</f>
        <v>0.46387824296815522</v>
      </c>
      <c r="H31" s="646" t="s">
        <v>2365</v>
      </c>
      <c r="I31" s="646" t="s">
        <v>19</v>
      </c>
      <c r="N31" s="652" t="s">
        <v>20</v>
      </c>
      <c r="O31" s="641"/>
      <c r="P31" s="633">
        <v>90</v>
      </c>
    </row>
    <row r="32" spans="2:27" s="625" customFormat="1" ht="14.25">
      <c r="B32" s="650" t="s">
        <v>21</v>
      </c>
      <c r="C32" s="649" t="s">
        <v>1618</v>
      </c>
      <c r="D32" s="643" t="s">
        <v>22</v>
      </c>
      <c r="E32" s="651">
        <f>$E$18*9.8*F32</f>
        <v>577.34286119816602</v>
      </c>
      <c r="F32" s="643">
        <f>SQRT((SQRT($E$19^2+$E$20^2)+$E$28*SIN($P$31*PI()/180))^2+($E$21+$E$26)^2)</f>
        <v>0.46387824296815522</v>
      </c>
      <c r="H32" s="646" t="s">
        <v>2366</v>
      </c>
      <c r="I32" s="646" t="s">
        <v>2162</v>
      </c>
      <c r="N32" s="646" t="s">
        <v>2163</v>
      </c>
    </row>
    <row r="33" spans="1:28" s="625" customFormat="1">
      <c r="B33" s="653"/>
      <c r="C33" s="649" t="s">
        <v>270</v>
      </c>
      <c r="D33" s="643" t="s">
        <v>2164</v>
      </c>
      <c r="E33" s="651">
        <f>$E$18*9.8*F33</f>
        <v>241.41696422235677</v>
      </c>
      <c r="F33" s="643">
        <f>SQRT($E$19^2+$E$20^2)</f>
        <v>0.19397152838048912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55.519045966465015</v>
      </c>
      <c r="F36" s="643">
        <f>$E$18*$F31^2+MAX($E$22:$E$24)</f>
        <v>55.587334086001306</v>
      </c>
      <c r="G36" s="654" t="s">
        <v>2181</v>
      </c>
      <c r="H36" s="655">
        <f>$J$43</f>
        <v>55.518536570874346</v>
      </c>
      <c r="I36" s="655">
        <f>$J$89</f>
        <v>55.519045966465015</v>
      </c>
      <c r="J36" s="643">
        <f>$N$89</f>
        <v>-88.150870130287373</v>
      </c>
      <c r="K36" s="643">
        <f>$B$89</f>
        <v>5.436883302861192</v>
      </c>
    </row>
    <row r="37" spans="1:28" s="625" customFormat="1" ht="14.25">
      <c r="B37" s="650" t="s">
        <v>2182</v>
      </c>
      <c r="C37" s="649" t="s">
        <v>1618</v>
      </c>
      <c r="D37" s="643" t="s">
        <v>2180</v>
      </c>
      <c r="E37" s="651">
        <f>MAX(H37:I37)</f>
        <v>55.4887589824203</v>
      </c>
      <c r="F37" s="643">
        <f>$E$18*$F32^2+MAX($E$22:$E$23)</f>
        <v>55.587334086001306</v>
      </c>
      <c r="G37" s="655">
        <f>IF(E28=0,SQRT((E18*E19^2-E18*E20^2-E22+E23)^2/4+(E18*E19*E20)^2)+(E18*E19^2+E18*E20^2+E22+E23)/2+E18*(E21+E26)^2,"---")</f>
        <v>55.488758982420293</v>
      </c>
      <c r="H37" s="655">
        <f>$K$44</f>
        <v>55.370529063380218</v>
      </c>
      <c r="I37" s="655">
        <f>$K$90</f>
        <v>55.4887589824203</v>
      </c>
      <c r="J37" s="654" t="s">
        <v>2181</v>
      </c>
      <c r="K37" s="654">
        <f>$B$90</f>
        <v>97.899411580895787</v>
      </c>
    </row>
    <row r="38" spans="1:28" s="625" customFormat="1">
      <c r="B38" s="653"/>
      <c r="C38" s="649" t="s">
        <v>270</v>
      </c>
      <c r="D38" s="643" t="s">
        <v>2180</v>
      </c>
      <c r="E38" s="651">
        <f>G38</f>
        <v>12.756485135427388</v>
      </c>
      <c r="F38" s="643">
        <f>$E$18*$F33^2+$E$24</f>
        <v>12.756485135427386</v>
      </c>
      <c r="G38" s="655">
        <f>$E$18*($E$19^2+$E$20^2)+$E$24</f>
        <v>12.756485135427388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55.518536570874346</v>
      </c>
    </row>
    <row r="44" spans="1:28" s="625" customFormat="1" ht="14.25">
      <c r="B44" s="629" t="s">
        <v>2905</v>
      </c>
      <c r="I44" s="658" t="s">
        <v>2906</v>
      </c>
      <c r="J44" s="643">
        <f>MAX(J46:J70)</f>
        <v>55.471801935930586</v>
      </c>
      <c r="K44" s="643">
        <f>MAX(K46:K70)</f>
        <v>55.370529063380218</v>
      </c>
      <c r="L44" s="659">
        <f>MAX(L46:L70)</f>
        <v>55.370529063380218</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-4.3897270000000002E-2</v>
      </c>
      <c r="D46" s="643">
        <f t="shared" ref="D46:D70" si="3">$E$19*SIN(B46*PI()/180)+$E$20*COS(B46*PI()/180)</f>
        <v>-0.1889391</v>
      </c>
      <c r="E46" s="643">
        <f t="shared" ref="E46:E70" si="4">$E$22*COS(B46*PI()/180)^2+$E$23*SIN(B46*PI()/180)^2</f>
        <v>28.25909</v>
      </c>
      <c r="F46" s="643">
        <f t="shared" ref="F46:F70" si="5">$E$22*SIN(B46*PI()/180)^2+$E$23*COS(B46*PI()/180)^2</f>
        <v>25.10267</v>
      </c>
      <c r="G46" s="643">
        <f t="shared" ref="G46:G70" si="6">($E$18*(C46+$E$28)^2-$E$18*($E$21+$E$26)^2+$E$24-E46)/2</f>
        <v>-21.2930618603827</v>
      </c>
      <c r="H46" s="643">
        <f t="shared" ref="H46:H70" si="7">$E$18*(C46+$E$28)*($E$21+$E$26)</f>
        <v>-2.3491537475083559</v>
      </c>
      <c r="I46" s="643">
        <f t="shared" ref="I46:I70" si="8">$E$18*((C46+$E$28)^2+($E$21+$E$26)^2)/2+$E$18*(D46+$E$27)^2+($E$24+E46)/2</f>
        <v>34.04954699581009</v>
      </c>
      <c r="J46" s="643">
        <f>SQRT(G46^2+H46^2)+I46</f>
        <v>55.471801935930586</v>
      </c>
      <c r="K46" s="643">
        <f t="shared" ref="K46:K70" si="9">$E$18*((C46+$E$28)^2+($E$21+$E$26)^2)+F46</f>
        <v>47.897270180382435</v>
      </c>
      <c r="L46" s="670">
        <f t="shared" ref="L46:L70" si="10">$E$18*((D46+$E$28)^2+($E$21+$E$26)^2)+E46</f>
        <v>55.342608856192783</v>
      </c>
      <c r="M46" s="671"/>
      <c r="N46" s="638">
        <f>O53*180/PI()-INT(O53*180/PI()/360)*360</f>
        <v>97.899411580895787</v>
      </c>
      <c r="O46" s="643">
        <f>INDEX($B46:$B72,MATCH(K44,K46:K70,0))</f>
        <v>105</v>
      </c>
      <c r="P46" s="643">
        <f>($E$18*$E$19^2-$E$18*$E$20^2+$E$23-$E$22)/2</f>
        <v>-3.7226693379051756</v>
      </c>
      <c r="Q46" s="643">
        <f>-$E$18*$E$19*$E$20</f>
        <v>-1.0533266571546389</v>
      </c>
      <c r="R46" s="672" t="s">
        <v>1320</v>
      </c>
      <c r="T46" s="673"/>
      <c r="U46" s="674" t="s">
        <v>1321</v>
      </c>
      <c r="V46" s="675"/>
      <c r="W46" s="675"/>
      <c r="X46" s="675"/>
      <c r="Y46" s="675"/>
      <c r="Z46" s="675"/>
      <c r="AA46" s="675"/>
      <c r="AB46" s="676"/>
    </row>
    <row r="47" spans="1:28" s="625" customFormat="1">
      <c r="A47" s="643">
        <f>A46+1</f>
        <v>1</v>
      </c>
      <c r="B47" s="643">
        <f>B46+15</f>
        <v>15</v>
      </c>
      <c r="C47" s="643">
        <f t="shared" si="2"/>
        <v>6.4995306479453466E-3</v>
      </c>
      <c r="D47" s="643">
        <f t="shared" si="3"/>
        <v>-0.19386260578982042</v>
      </c>
      <c r="E47" s="643">
        <f t="shared" si="4"/>
        <v>28.047649952506642</v>
      </c>
      <c r="F47" s="643">
        <f t="shared" si="5"/>
        <v>25.314110047493365</v>
      </c>
      <c r="G47" s="643">
        <f t="shared" si="6"/>
        <v>-21.307021963976414</v>
      </c>
      <c r="H47" s="643">
        <f t="shared" si="7"/>
        <v>0.34782110091735141</v>
      </c>
      <c r="I47" s="643">
        <f t="shared" si="8"/>
        <v>34.063507099403807</v>
      </c>
      <c r="J47" s="643">
        <f t="shared" ref="J47:J70" si="11">SQRT(G47^2+H47^2)+I47</f>
        <v>55.373367833149032</v>
      </c>
      <c r="K47" s="643">
        <f t="shared" si="9"/>
        <v>47.869349973195014</v>
      </c>
      <c r="L47" s="670">
        <f t="shared" si="10"/>
        <v>55.370529063380218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5.6453399023215459E-2</v>
      </c>
      <c r="D48" s="643">
        <f t="shared" si="3"/>
        <v>-0.18557469536816842</v>
      </c>
      <c r="E48" s="643">
        <f t="shared" si="4"/>
        <v>27.469985000000001</v>
      </c>
      <c r="F48" s="643">
        <f t="shared" si="5"/>
        <v>25.891775000000003</v>
      </c>
      <c r="G48" s="643">
        <f t="shared" si="6"/>
        <v>-20.818498347696035</v>
      </c>
      <c r="H48" s="643">
        <f t="shared" si="7"/>
        <v>3.0210925161170876</v>
      </c>
      <c r="I48" s="643">
        <f t="shared" si="8"/>
        <v>33.574983483123425</v>
      </c>
      <c r="J48" s="643">
        <f t="shared" si="11"/>
        <v>54.611543882674518</v>
      </c>
      <c r="K48" s="643">
        <f t="shared" si="9"/>
        <v>48.846397205755764</v>
      </c>
      <c r="L48" s="670">
        <f t="shared" si="10"/>
        <v>54.393481830819461</v>
      </c>
      <c r="M48" s="671"/>
      <c r="N48" s="643">
        <v>1</v>
      </c>
      <c r="O48" s="643">
        <f>O46*PI()/180</f>
        <v>1.8325957145940461</v>
      </c>
      <c r="P48" s="643">
        <f t="shared" ref="P48:P53" si="14">-2*$P$46*SIN(2*O48)+2*$Q$46*COS(2*O48)+2*$E$18*$E$28*(-$E$19*SIN(O48)-$E$20*COS(O48))</f>
        <v>-1.8982540507466583</v>
      </c>
      <c r="Q48" s="643">
        <f t="shared" ref="Q48:Q53" si="15">-4*$P$46*COS(2*O48)-4*$Q$46*SIN(2*O48)+2*$E$18*$E$28*(-$E$19*COS(O48)+$E$20*SIN(O48))</f>
        <v>-15.002358180370392</v>
      </c>
      <c r="R48" s="643">
        <f t="shared" ref="R48:R53" si="16">IF(Q48=0,O48,O48-P48/Q48)</f>
        <v>1.706065336641172</v>
      </c>
      <c r="T48" s="673"/>
      <c r="U48" s="674" t="s">
        <v>2383</v>
      </c>
      <c r="V48" s="675"/>
      <c r="W48" s="675"/>
      <c r="X48" s="675"/>
      <c r="Y48" s="675"/>
      <c r="Z48" s="675"/>
      <c r="AA48" s="675"/>
      <c r="AB48" s="676"/>
    </row>
    <row r="49" spans="1:28" s="625" customFormat="1">
      <c r="A49" s="643">
        <f t="shared" si="12"/>
        <v>3</v>
      </c>
      <c r="B49" s="643">
        <f t="shared" si="13"/>
        <v>45</v>
      </c>
      <c r="C49" s="643">
        <f t="shared" si="2"/>
        <v>0.10256006154870639</v>
      </c>
      <c r="D49" s="643">
        <f t="shared" si="3"/>
        <v>-0.16464017613386003</v>
      </c>
      <c r="E49" s="643">
        <f t="shared" si="4"/>
        <v>26.680880000000002</v>
      </c>
      <c r="F49" s="643">
        <f t="shared" si="5"/>
        <v>26.680880000000002</v>
      </c>
      <c r="G49" s="643">
        <f t="shared" si="6"/>
        <v>-19.958390520007434</v>
      </c>
      <c r="H49" s="643">
        <f t="shared" si="7"/>
        <v>5.4884814689348849</v>
      </c>
      <c r="I49" s="643">
        <f t="shared" si="8"/>
        <v>32.714875655434824</v>
      </c>
      <c r="J49" s="643">
        <f t="shared" si="11"/>
        <v>53.414169870068434</v>
      </c>
      <c r="K49" s="643">
        <f t="shared" si="9"/>
        <v>50.566612861132974</v>
      </c>
      <c r="L49" s="670">
        <f t="shared" si="10"/>
        <v>52.673266175442251</v>
      </c>
      <c r="M49" s="671"/>
      <c r="N49" s="643">
        <f>N48+1</f>
        <v>2</v>
      </c>
      <c r="O49" s="643">
        <f>R48</f>
        <v>1.706065336641172</v>
      </c>
      <c r="P49" s="643">
        <f t="shared" si="14"/>
        <v>4.0262331699707721E-2</v>
      </c>
      <c r="Q49" s="643">
        <f t="shared" si="15"/>
        <v>-15.47506835252805</v>
      </c>
      <c r="R49" s="643">
        <f t="shared" si="16"/>
        <v>1.7086670913334625</v>
      </c>
      <c r="T49" s="673"/>
      <c r="U49" s="674" t="s">
        <v>2384</v>
      </c>
      <c r="V49" s="675"/>
      <c r="W49" s="675"/>
      <c r="X49" s="675" t="s">
        <v>2385</v>
      </c>
      <c r="Y49" s="675"/>
      <c r="Z49" s="675"/>
      <c r="AA49" s="675"/>
      <c r="AB49" s="676"/>
    </row>
    <row r="50" spans="1:28" s="625" customFormat="1">
      <c r="A50" s="643">
        <f t="shared" si="12"/>
        <v>4</v>
      </c>
      <c r="B50" s="643">
        <f t="shared" si="13"/>
        <v>60</v>
      </c>
      <c r="C50" s="643">
        <f t="shared" si="2"/>
        <v>0.14167742536816844</v>
      </c>
      <c r="D50" s="643">
        <f t="shared" si="3"/>
        <v>-0.13248570097678455</v>
      </c>
      <c r="E50" s="643">
        <f t="shared" si="4"/>
        <v>25.891774999999999</v>
      </c>
      <c r="F50" s="643">
        <f t="shared" si="5"/>
        <v>27.469985000000001</v>
      </c>
      <c r="G50" s="643">
        <f t="shared" si="6"/>
        <v>-18.957163678743449</v>
      </c>
      <c r="H50" s="643">
        <f t="shared" si="7"/>
        <v>7.5818394797892505</v>
      </c>
      <c r="I50" s="643">
        <f t="shared" si="8"/>
        <v>31.713648814170835</v>
      </c>
      <c r="J50" s="643">
        <f t="shared" si="11"/>
        <v>52.130757929811097</v>
      </c>
      <c r="K50" s="643">
        <f t="shared" si="9"/>
        <v>52.569066543660938</v>
      </c>
      <c r="L50" s="670">
        <f t="shared" si="10"/>
        <v>50.67081249291428</v>
      </c>
      <c r="M50" s="671"/>
      <c r="N50" s="643">
        <f>N49+1</f>
        <v>3</v>
      </c>
      <c r="O50" s="643">
        <f>R49</f>
        <v>1.7086670913334625</v>
      </c>
      <c r="P50" s="643">
        <f t="shared" si="14"/>
        <v>-3.6338682285474988E-7</v>
      </c>
      <c r="Q50" s="643">
        <f t="shared" si="15"/>
        <v>-15.475277856530727</v>
      </c>
      <c r="R50" s="643">
        <f t="shared" si="16"/>
        <v>1.7086670678516984</v>
      </c>
      <c r="T50" s="673"/>
      <c r="U50" s="674" t="s">
        <v>2386</v>
      </c>
      <c r="V50" s="675"/>
      <c r="W50" s="675"/>
      <c r="X50" s="675"/>
      <c r="Y50" s="675"/>
      <c r="Z50" s="675" t="s">
        <v>2387</v>
      </c>
      <c r="AA50" s="675"/>
      <c r="AB50" s="676"/>
    </row>
    <row r="51" spans="1:28" s="625" customFormat="1">
      <c r="A51" s="643">
        <f t="shared" si="12"/>
        <v>5</v>
      </c>
      <c r="B51" s="643">
        <f t="shared" si="13"/>
        <v>75</v>
      </c>
      <c r="C51" s="643">
        <f t="shared" si="2"/>
        <v>0.17113970678180537</v>
      </c>
      <c r="D51" s="643">
        <f t="shared" si="3"/>
        <v>-9.1302544241114003E-2</v>
      </c>
      <c r="E51" s="643">
        <f t="shared" si="4"/>
        <v>25.314110047493365</v>
      </c>
      <c r="F51" s="643">
        <f t="shared" si="5"/>
        <v>28.047649952506642</v>
      </c>
      <c r="G51" s="643">
        <f t="shared" si="6"/>
        <v>-18.083095747461137</v>
      </c>
      <c r="H51" s="643">
        <f t="shared" si="7"/>
        <v>9.1585076596781363</v>
      </c>
      <c r="I51" s="643">
        <f t="shared" si="8"/>
        <v>30.839580882888523</v>
      </c>
      <c r="J51" s="643">
        <f t="shared" si="11"/>
        <v>51.109672504887428</v>
      </c>
      <c r="K51" s="643">
        <f t="shared" si="9"/>
        <v>54.317202406225576</v>
      </c>
      <c r="L51" s="670">
        <f t="shared" si="10"/>
        <v>48.922676630349656</v>
      </c>
      <c r="M51" s="671"/>
      <c r="N51" s="643">
        <f>N50+1</f>
        <v>4</v>
      </c>
      <c r="O51" s="643">
        <f>R50</f>
        <v>1.7086670678516984</v>
      </c>
      <c r="P51" s="643">
        <f t="shared" si="14"/>
        <v>1.3322676295501878E-15</v>
      </c>
      <c r="Q51" s="643">
        <f t="shared" si="15"/>
        <v>-15.475277856530745</v>
      </c>
      <c r="R51" s="643">
        <f t="shared" si="16"/>
        <v>1.7086670678516984</v>
      </c>
      <c r="T51" s="679"/>
      <c r="U51" s="680" t="s">
        <v>2388</v>
      </c>
      <c r="V51" s="681"/>
      <c r="W51" s="681"/>
      <c r="X51" s="681"/>
      <c r="Y51" s="681"/>
      <c r="Z51" s="681"/>
      <c r="AA51" s="681"/>
      <c r="AB51" s="682"/>
    </row>
    <row r="52" spans="1:28" s="625" customFormat="1">
      <c r="A52" s="643">
        <f t="shared" si="12"/>
        <v>6</v>
      </c>
      <c r="B52" s="643">
        <f t="shared" si="13"/>
        <v>90</v>
      </c>
      <c r="C52" s="643">
        <f t="shared" si="2"/>
        <v>0.1889391</v>
      </c>
      <c r="D52" s="643">
        <f t="shared" si="3"/>
        <v>-4.3897270000000016E-2</v>
      </c>
      <c r="E52" s="643">
        <f t="shared" si="4"/>
        <v>25.10267</v>
      </c>
      <c r="F52" s="643">
        <f t="shared" si="5"/>
        <v>28.25909</v>
      </c>
      <c r="G52" s="643">
        <f t="shared" si="6"/>
        <v>-17.570392522477526</v>
      </c>
      <c r="H52" s="643">
        <f t="shared" si="7"/>
        <v>10.11103867770948</v>
      </c>
      <c r="I52" s="643">
        <f t="shared" si="8"/>
        <v>30.326877657904912</v>
      </c>
      <c r="J52" s="643">
        <f t="shared" si="11"/>
        <v>50.598823704993521</v>
      </c>
      <c r="K52" s="643">
        <f t="shared" si="9"/>
        <v>55.342608856192783</v>
      </c>
      <c r="L52" s="670">
        <f t="shared" si="10"/>
        <v>47.897270180382435</v>
      </c>
      <c r="M52" s="671"/>
      <c r="N52" s="643">
        <f>N51+1</f>
        <v>5</v>
      </c>
      <c r="O52" s="643">
        <f>R51</f>
        <v>1.7086670678516984</v>
      </c>
      <c r="P52" s="643">
        <f t="shared" si="14"/>
        <v>1.3322676295501878E-15</v>
      </c>
      <c r="Q52" s="643">
        <f t="shared" si="15"/>
        <v>-15.475277856530745</v>
      </c>
      <c r="R52" s="643">
        <f t="shared" si="16"/>
        <v>1.7086670678516984</v>
      </c>
      <c r="T52" s="666" t="s">
        <v>2055</v>
      </c>
      <c r="U52" s="667" t="s">
        <v>2056</v>
      </c>
      <c r="V52" s="668"/>
      <c r="W52" s="668"/>
      <c r="X52" s="668"/>
      <c r="Y52" s="668"/>
      <c r="Z52" s="668"/>
      <c r="AA52" s="668"/>
      <c r="AB52" s="669"/>
    </row>
    <row r="53" spans="1:28" s="625" customFormat="1">
      <c r="A53" s="643">
        <f t="shared" si="12"/>
        <v>7</v>
      </c>
      <c r="B53" s="643">
        <f t="shared" si="13"/>
        <v>105</v>
      </c>
      <c r="C53" s="643">
        <f t="shared" si="2"/>
        <v>0.19386260578982042</v>
      </c>
      <c r="D53" s="643">
        <f t="shared" si="3"/>
        <v>6.4995306479453674E-3</v>
      </c>
      <c r="E53" s="643">
        <f t="shared" si="4"/>
        <v>25.314110047493365</v>
      </c>
      <c r="F53" s="643">
        <f t="shared" si="5"/>
        <v>28.047649952506642</v>
      </c>
      <c r="G53" s="643">
        <f t="shared" si="6"/>
        <v>-17.556432418883816</v>
      </c>
      <c r="H53" s="643">
        <f t="shared" si="7"/>
        <v>10.374519119136378</v>
      </c>
      <c r="I53" s="643">
        <f t="shared" si="8"/>
        <v>30.312917554311205</v>
      </c>
      <c r="J53" s="643">
        <f t="shared" si="11"/>
        <v>50.705537940915789</v>
      </c>
      <c r="K53" s="643">
        <f t="shared" si="9"/>
        <v>55.370529063380218</v>
      </c>
      <c r="L53" s="670">
        <f t="shared" si="10"/>
        <v>47.869349973195014</v>
      </c>
      <c r="M53" s="671"/>
      <c r="N53" s="643">
        <f>N52+1</f>
        <v>6</v>
      </c>
      <c r="O53" s="643">
        <f>R52</f>
        <v>1.7086670678516984</v>
      </c>
      <c r="P53" s="643">
        <f t="shared" si="14"/>
        <v>1.3322676295501878E-15</v>
      </c>
      <c r="Q53" s="643">
        <f t="shared" si="15"/>
        <v>-15.475277856530745</v>
      </c>
      <c r="R53" s="643">
        <f t="shared" si="16"/>
        <v>1.7086670678516984</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0.18557469536816842</v>
      </c>
      <c r="D54" s="643">
        <f t="shared" si="3"/>
        <v>5.6453399023215431E-2</v>
      </c>
      <c r="E54" s="643">
        <f t="shared" si="4"/>
        <v>25.891774999999996</v>
      </c>
      <c r="F54" s="643">
        <f t="shared" si="5"/>
        <v>27.469984999999998</v>
      </c>
      <c r="G54" s="643">
        <f t="shared" si="6"/>
        <v>-18.044956035164187</v>
      </c>
      <c r="H54" s="643">
        <f t="shared" si="7"/>
        <v>9.9309932272976074</v>
      </c>
      <c r="I54" s="643">
        <f t="shared" si="8"/>
        <v>30.801441170591573</v>
      </c>
      <c r="J54" s="643">
        <f t="shared" si="11"/>
        <v>51.398651292150255</v>
      </c>
      <c r="K54" s="643">
        <f t="shared" si="9"/>
        <v>54.393481830819454</v>
      </c>
      <c r="L54" s="670">
        <f t="shared" si="10"/>
        <v>48.846397205755764</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0.16464017613386003</v>
      </c>
      <c r="D55" s="643">
        <f t="shared" si="3"/>
        <v>0.10256006154870639</v>
      </c>
      <c r="E55" s="643">
        <f t="shared" si="4"/>
        <v>26.680880000000002</v>
      </c>
      <c r="F55" s="643">
        <f t="shared" si="5"/>
        <v>26.680880000000002</v>
      </c>
      <c r="G55" s="643">
        <f t="shared" si="6"/>
        <v>-18.905063862852792</v>
      </c>
      <c r="H55" s="643">
        <f t="shared" si="7"/>
        <v>8.8106865587607857</v>
      </c>
      <c r="I55" s="643">
        <f t="shared" si="8"/>
        <v>31.661548998280182</v>
      </c>
      <c r="J55" s="643">
        <f t="shared" si="11"/>
        <v>52.518913100564788</v>
      </c>
      <c r="K55" s="643">
        <f t="shared" si="9"/>
        <v>52.673266175442251</v>
      </c>
      <c r="L55" s="670">
        <f t="shared" si="10"/>
        <v>50.566612861132974</v>
      </c>
      <c r="M55" s="671"/>
      <c r="T55" s="673"/>
      <c r="U55" s="674" t="s">
        <v>2062</v>
      </c>
      <c r="V55" s="675"/>
      <c r="W55" s="675"/>
      <c r="X55" s="675"/>
      <c r="Y55" s="675"/>
      <c r="Z55" s="675"/>
      <c r="AA55" s="675"/>
      <c r="AB55" s="676"/>
    </row>
    <row r="56" spans="1:28" s="625" customFormat="1">
      <c r="A56" s="643">
        <f t="shared" si="12"/>
        <v>10</v>
      </c>
      <c r="B56" s="643">
        <f t="shared" si="13"/>
        <v>150</v>
      </c>
      <c r="C56" s="643">
        <f t="shared" si="2"/>
        <v>0.13248570097678453</v>
      </c>
      <c r="D56" s="643">
        <f t="shared" si="3"/>
        <v>0.14167742536816844</v>
      </c>
      <c r="E56" s="643">
        <f t="shared" si="4"/>
        <v>27.469985000000001</v>
      </c>
      <c r="F56" s="643">
        <f t="shared" si="5"/>
        <v>25.891775000000003</v>
      </c>
      <c r="G56" s="643">
        <f t="shared" si="6"/>
        <v>-19.906290704116778</v>
      </c>
      <c r="H56" s="643">
        <f t="shared" si="7"/>
        <v>7.0899461615923913</v>
      </c>
      <c r="I56" s="643">
        <f t="shared" si="8"/>
        <v>32.662775839544167</v>
      </c>
      <c r="J56" s="643">
        <f>SQRT(G56^2+H56^2)+I56</f>
        <v>53.793978980186317</v>
      </c>
      <c r="K56" s="643">
        <f t="shared" si="9"/>
        <v>50.670812492914287</v>
      </c>
      <c r="L56" s="670">
        <f t="shared" si="10"/>
        <v>52.569066543660938</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9.1302544241114059E-2</v>
      </c>
      <c r="D57" s="643">
        <f t="shared" si="3"/>
        <v>0.17113970678180532</v>
      </c>
      <c r="E57" s="643">
        <f t="shared" si="4"/>
        <v>28.047649952506639</v>
      </c>
      <c r="F57" s="643">
        <f t="shared" si="5"/>
        <v>25.314110047493362</v>
      </c>
      <c r="G57" s="643">
        <f t="shared" si="6"/>
        <v>-20.780358635399089</v>
      </c>
      <c r="H57" s="643">
        <f t="shared" si="7"/>
        <v>4.8860376502014944</v>
      </c>
      <c r="I57" s="643">
        <f t="shared" si="8"/>
        <v>33.536843770826479</v>
      </c>
      <c r="J57" s="643">
        <f t="shared" si="11"/>
        <v>54.883896704076818</v>
      </c>
      <c r="K57" s="643">
        <f t="shared" si="9"/>
        <v>48.922676630349656</v>
      </c>
      <c r="L57" s="670">
        <f t="shared" si="10"/>
        <v>54.317202406225569</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4.3897270000000023E-2</v>
      </c>
      <c r="D58" s="643">
        <f t="shared" si="3"/>
        <v>0.1889391</v>
      </c>
      <c r="E58" s="643">
        <f t="shared" si="4"/>
        <v>28.25909</v>
      </c>
      <c r="F58" s="643">
        <f t="shared" si="5"/>
        <v>25.10267</v>
      </c>
      <c r="G58" s="643">
        <f t="shared" si="6"/>
        <v>-21.2930618603827</v>
      </c>
      <c r="H58" s="643">
        <f t="shared" si="7"/>
        <v>2.3491537475083568</v>
      </c>
      <c r="I58" s="643">
        <f t="shared" si="8"/>
        <v>34.04954699581009</v>
      </c>
      <c r="J58" s="643">
        <f t="shared" si="11"/>
        <v>55.471801935930586</v>
      </c>
      <c r="K58" s="643">
        <f t="shared" si="9"/>
        <v>47.897270180382435</v>
      </c>
      <c r="L58" s="670">
        <f t="shared" si="10"/>
        <v>55.342608856192783</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-6.4995306479452633E-3</v>
      </c>
      <c r="D59" s="643">
        <f t="shared" si="3"/>
        <v>0.19386260578982045</v>
      </c>
      <c r="E59" s="643">
        <f t="shared" si="4"/>
        <v>28.047649952506642</v>
      </c>
      <c r="F59" s="643">
        <f t="shared" si="5"/>
        <v>25.314110047493362</v>
      </c>
      <c r="G59" s="643">
        <f t="shared" si="6"/>
        <v>-21.307021963976414</v>
      </c>
      <c r="H59" s="643">
        <f t="shared" si="7"/>
        <v>-0.34782110091734697</v>
      </c>
      <c r="I59" s="643">
        <f t="shared" si="8"/>
        <v>34.063507099403807</v>
      </c>
      <c r="J59" s="643">
        <f t="shared" si="11"/>
        <v>55.373367833149032</v>
      </c>
      <c r="K59" s="643">
        <f t="shared" si="9"/>
        <v>47.869349973195014</v>
      </c>
      <c r="L59" s="670">
        <f t="shared" si="10"/>
        <v>55.370529063380218</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-5.64533990232155E-2</v>
      </c>
      <c r="D60" s="643">
        <f t="shared" si="3"/>
        <v>0.18557469536816842</v>
      </c>
      <c r="E60" s="643">
        <f t="shared" si="4"/>
        <v>27.469985000000001</v>
      </c>
      <c r="F60" s="643">
        <f t="shared" si="5"/>
        <v>25.891774999999999</v>
      </c>
      <c r="G60" s="643">
        <f t="shared" si="6"/>
        <v>-20.818498347696035</v>
      </c>
      <c r="H60" s="643">
        <f t="shared" si="7"/>
        <v>-3.0210925161170898</v>
      </c>
      <c r="I60" s="643">
        <f t="shared" si="8"/>
        <v>33.574983483123425</v>
      </c>
      <c r="J60" s="643">
        <f t="shared" si="11"/>
        <v>54.611543882674518</v>
      </c>
      <c r="K60" s="643">
        <f t="shared" si="9"/>
        <v>48.846397205755764</v>
      </c>
      <c r="L60" s="670">
        <f t="shared" si="10"/>
        <v>54.393481830819461</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-0.10256006154870639</v>
      </c>
      <c r="D61" s="643">
        <f t="shared" si="3"/>
        <v>0.16464017613386006</v>
      </c>
      <c r="E61" s="643">
        <f t="shared" si="4"/>
        <v>26.680880000000002</v>
      </c>
      <c r="F61" s="643">
        <f t="shared" si="5"/>
        <v>26.680880000000002</v>
      </c>
      <c r="G61" s="643">
        <f t="shared" si="6"/>
        <v>-19.958390520007434</v>
      </c>
      <c r="H61" s="643">
        <f t="shared" si="7"/>
        <v>-5.4884814689348849</v>
      </c>
      <c r="I61" s="643">
        <f t="shared" si="8"/>
        <v>32.714875655434824</v>
      </c>
      <c r="J61" s="643">
        <f t="shared" si="11"/>
        <v>53.414169870068434</v>
      </c>
      <c r="K61" s="643">
        <f t="shared" si="9"/>
        <v>50.566612861132974</v>
      </c>
      <c r="L61" s="670">
        <f t="shared" si="10"/>
        <v>52.673266175442251</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-0.14167742536816835</v>
      </c>
      <c r="D62" s="643">
        <f t="shared" si="3"/>
        <v>0.13248570097678458</v>
      </c>
      <c r="E62" s="643">
        <f t="shared" si="4"/>
        <v>25.891775000000003</v>
      </c>
      <c r="F62" s="643">
        <f t="shared" si="5"/>
        <v>27.469984999999998</v>
      </c>
      <c r="G62" s="643">
        <f t="shared" si="6"/>
        <v>-18.957163678743449</v>
      </c>
      <c r="H62" s="643">
        <f t="shared" si="7"/>
        <v>-7.5818394797892461</v>
      </c>
      <c r="I62" s="643">
        <f t="shared" si="8"/>
        <v>31.713648814170838</v>
      </c>
      <c r="J62" s="643">
        <f t="shared" si="11"/>
        <v>52.130757929811097</v>
      </c>
      <c r="K62" s="643">
        <f t="shared" si="9"/>
        <v>52.569066543660938</v>
      </c>
      <c r="L62" s="670">
        <f t="shared" si="10"/>
        <v>50.670812492914287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-0.17113970678180537</v>
      </c>
      <c r="D63" s="643">
        <f t="shared" si="3"/>
        <v>9.1302544241113989E-2</v>
      </c>
      <c r="E63" s="643">
        <f t="shared" si="4"/>
        <v>25.314110047493362</v>
      </c>
      <c r="F63" s="643">
        <f t="shared" si="5"/>
        <v>28.047649952506639</v>
      </c>
      <c r="G63" s="643">
        <f t="shared" si="6"/>
        <v>-18.083095747461133</v>
      </c>
      <c r="H63" s="643">
        <f t="shared" si="7"/>
        <v>-9.1585076596781363</v>
      </c>
      <c r="I63" s="643">
        <f t="shared" si="8"/>
        <v>30.839580882888519</v>
      </c>
      <c r="J63" s="643">
        <f t="shared" si="11"/>
        <v>51.109672504887421</v>
      </c>
      <c r="K63" s="643">
        <f t="shared" si="9"/>
        <v>54.317202406225576</v>
      </c>
      <c r="L63" s="670">
        <f t="shared" si="10"/>
        <v>48.922676630349656</v>
      </c>
      <c r="M63" s="671"/>
      <c r="N63" s="638">
        <f>O70*180/PI()-INT(O70*180/PI()/360)*360</f>
        <v>5.436883302861192</v>
      </c>
      <c r="O63" s="638">
        <f>INDEX($B73:$B85,MATCH($J$43,$J$73:$J$85,0))</f>
        <v>6</v>
      </c>
      <c r="P63" s="653"/>
      <c r="Q63" s="687"/>
      <c r="R63" s="687"/>
      <c r="S63" s="687"/>
      <c r="V63" s="687"/>
      <c r="W63" s="687"/>
      <c r="X63" s="687"/>
      <c r="Y63" s="687"/>
      <c r="Z63" s="687"/>
      <c r="AA63" s="687"/>
      <c r="AB63" s="688"/>
    </row>
    <row r="64" spans="1:28" s="625" customFormat="1">
      <c r="A64" s="643">
        <f t="shared" si="12"/>
        <v>18</v>
      </c>
      <c r="B64" s="643">
        <f t="shared" si="13"/>
        <v>270</v>
      </c>
      <c r="C64" s="643">
        <f t="shared" si="2"/>
        <v>-0.1889391</v>
      </c>
      <c r="D64" s="643">
        <f t="shared" si="3"/>
        <v>4.3897270000000037E-2</v>
      </c>
      <c r="E64" s="643">
        <f t="shared" si="4"/>
        <v>25.10267</v>
      </c>
      <c r="F64" s="643">
        <f t="shared" si="5"/>
        <v>28.25909</v>
      </c>
      <c r="G64" s="643">
        <f t="shared" si="6"/>
        <v>-17.570392522477526</v>
      </c>
      <c r="H64" s="643">
        <f t="shared" si="7"/>
        <v>-10.11103867770948</v>
      </c>
      <c r="I64" s="643">
        <f t="shared" si="8"/>
        <v>30.326877657904912</v>
      </c>
      <c r="J64" s="643">
        <f t="shared" si="11"/>
        <v>50.598823704993521</v>
      </c>
      <c r="K64" s="643">
        <f t="shared" si="9"/>
        <v>55.342608856192783</v>
      </c>
      <c r="L64" s="670">
        <f t="shared" si="10"/>
        <v>47.897270180382435</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-0.19386260578982042</v>
      </c>
      <c r="D65" s="643">
        <f t="shared" si="3"/>
        <v>-6.4995306479454229E-3</v>
      </c>
      <c r="E65" s="643">
        <f t="shared" si="4"/>
        <v>25.314110047493362</v>
      </c>
      <c r="F65" s="643">
        <f t="shared" si="5"/>
        <v>28.047649952506639</v>
      </c>
      <c r="G65" s="643">
        <f t="shared" si="6"/>
        <v>-17.556432418883816</v>
      </c>
      <c r="H65" s="643">
        <f t="shared" si="7"/>
        <v>-10.374519119136378</v>
      </c>
      <c r="I65" s="643">
        <f t="shared" si="8"/>
        <v>30.312917554311198</v>
      </c>
      <c r="J65" s="643">
        <f t="shared" si="11"/>
        <v>50.705537940915782</v>
      </c>
      <c r="K65" s="643">
        <f t="shared" si="9"/>
        <v>55.370529063380211</v>
      </c>
      <c r="L65" s="670">
        <f t="shared" si="10"/>
        <v>47.869349973195014</v>
      </c>
      <c r="M65" s="671"/>
      <c r="N65" s="643">
        <v>1</v>
      </c>
      <c r="O65" s="643">
        <f>O63*PI()/180</f>
        <v>0.10471975511965977</v>
      </c>
      <c r="P65" s="643">
        <f t="shared" ref="P65:P70" si="17">SIN(O65)</f>
        <v>0.10452846326765346</v>
      </c>
      <c r="Q65" s="643">
        <f t="shared" ref="Q65:Q70" si="18">COS(O65)</f>
        <v>0.99452189536827329</v>
      </c>
      <c r="R65" s="643">
        <f t="shared" ref="R65:R70" si="19">($E$18*($E$19*Q65-$E$20*P65+$E$28)^2-$E$18*($E$21+$E$26)^2+$E$24-$E$22*Q65^2-$E$23*P65^2)/2</f>
        <v>-21.361886695164955</v>
      </c>
      <c r="S65" s="643">
        <f t="shared" ref="S65:S70" si="20">$E$18*($E$19*Q65-$E$20*P65+$E$28)*(-$E$19*P65-$E$20*Q65)-($E$23-$E$22)*P65*Q65</f>
        <v>-0.25632246608547626</v>
      </c>
      <c r="T65" s="643">
        <f t="shared" ref="T65:T70" si="21">$E$18*(-$E$19*P65-$E$20*Q65)^2+$E$18*($E$19*Q65-$E$20*P65+$E$28)*(-$E$19*Q65+$E$20*P65)-($E$23-$E$22)*(Q65^2-P65^2)</f>
        <v>7.7206380149393823</v>
      </c>
      <c r="U65" s="643">
        <f t="shared" ref="U65:U70" si="22">$E$18*($E$19*Q65-$E$20*P65+$E$28)*($E$21+$E$26)</f>
        <v>-1.2793935024627137</v>
      </c>
      <c r="V65" s="643">
        <f t="shared" ref="V65:V70" si="23">$E$18*($E$21+$E$26)*(-$E$19*P65-$E$20*Q65)</f>
        <v>10.301202781104049</v>
      </c>
      <c r="W65" s="643">
        <f t="shared" ref="W65:W70" si="24">$E$18*($E$21+$E$26)*(-$E$19*Q65+$E$20*P65)</f>
        <v>1.2793935024627137</v>
      </c>
      <c r="X65" s="643">
        <f t="shared" ref="X65:X70" si="25">S65+2*($E$23-$E$22)*P65*Q65+2*$E$18*($E$19*P65+$E$20*Q65+$E$27)*($E$19*Q65-$E$20*P65)</f>
        <v>0.25632246608547626</v>
      </c>
      <c r="Y65" s="643">
        <f t="shared" ref="Y65:Y70" si="26">T65+2*($E$23-$E$22)*(Q65^2-P65^2)+2*$E$18*($E$19*Q65-$E$20*P65)^2+2*$E$18*($E$19*P65+$E$20*Q65+$E$27)*(-$E$19*P65-$E$20*Q65)</f>
        <v>-7.720638014939385</v>
      </c>
      <c r="Z65" s="643">
        <f t="shared" ref="Z65:Z70" si="27">IF(OR(R65,U65),(R65^2+U65^2)^(-0.5)*(R65*S65+U65*V65)+X65,0)</f>
        <v>-0.1036635677253378</v>
      </c>
      <c r="AA65" s="643">
        <f t="shared" ref="AA65:AA70" si="28">IF(OR(R65,U65),(-1)*(R65^2+U65^2)^(-1.5)*(R65*S65+U65*V65)^2+(R65^2+U65^2)^(-0.5)*(S65^2+R65*T65+V65^2+U65*W65)+Y65,0)</f>
        <v>-10.548342986305769</v>
      </c>
      <c r="AB65" s="643">
        <f t="shared" ref="AB65:AB70" si="29">IF(AA65=0,O65,O65-Z65/AA65)</f>
        <v>9.4892280997902687E-2</v>
      </c>
    </row>
    <row r="66" spans="1:28" s="625" customFormat="1">
      <c r="A66" s="643">
        <f t="shared" si="12"/>
        <v>20</v>
      </c>
      <c r="B66" s="643">
        <f t="shared" si="13"/>
        <v>300</v>
      </c>
      <c r="C66" s="643">
        <f t="shared" si="2"/>
        <v>-0.18557469536816842</v>
      </c>
      <c r="D66" s="643">
        <f t="shared" si="3"/>
        <v>-5.64533990232155E-2</v>
      </c>
      <c r="E66" s="643">
        <f t="shared" si="4"/>
        <v>25.891774999999999</v>
      </c>
      <c r="F66" s="643">
        <f t="shared" si="5"/>
        <v>27.469985000000001</v>
      </c>
      <c r="G66" s="643">
        <f t="shared" si="6"/>
        <v>-18.044956035164191</v>
      </c>
      <c r="H66" s="643">
        <f t="shared" si="7"/>
        <v>-9.9309932272976074</v>
      </c>
      <c r="I66" s="643">
        <f t="shared" si="8"/>
        <v>30.801441170591573</v>
      </c>
      <c r="J66" s="643">
        <f t="shared" si="11"/>
        <v>51.398651292150262</v>
      </c>
      <c r="K66" s="643">
        <f t="shared" si="9"/>
        <v>54.393481830819461</v>
      </c>
      <c r="L66" s="670">
        <f t="shared" si="10"/>
        <v>48.846397205755764</v>
      </c>
      <c r="M66" s="671"/>
      <c r="N66" s="643">
        <f>N65+1</f>
        <v>2</v>
      </c>
      <c r="O66" s="643">
        <f>AB65</f>
        <v>9.4892280997902687E-2</v>
      </c>
      <c r="P66" s="643">
        <f t="shared" si="17"/>
        <v>9.4749934798868063E-2</v>
      </c>
      <c r="Q66" s="643">
        <f t="shared" si="18"/>
        <v>0.99550110489924126</v>
      </c>
      <c r="R66" s="643">
        <f t="shared" si="19"/>
        <v>-21.358995040245443</v>
      </c>
      <c r="S66" s="643">
        <f t="shared" si="20"/>
        <v>-0.33214244194742298</v>
      </c>
      <c r="T66" s="643">
        <f t="shared" si="21"/>
        <v>7.7090713952613328</v>
      </c>
      <c r="U66" s="643">
        <f t="shared" si="22"/>
        <v>-1.3805648957609555</v>
      </c>
      <c r="V66" s="643">
        <f t="shared" si="23"/>
        <v>10.288132339747683</v>
      </c>
      <c r="W66" s="643">
        <f t="shared" si="24"/>
        <v>1.3805648957609555</v>
      </c>
      <c r="X66" s="643">
        <f t="shared" si="25"/>
        <v>0.33214244194742304</v>
      </c>
      <c r="Y66" s="643">
        <f t="shared" si="26"/>
        <v>-7.7090713952613346</v>
      </c>
      <c r="Z66" s="643">
        <f t="shared" si="27"/>
        <v>-8.0814970428999544E-6</v>
      </c>
      <c r="AA66" s="643">
        <f t="shared" si="28"/>
        <v>-10.545903166635691</v>
      </c>
      <c r="AB66" s="643">
        <f t="shared" si="29"/>
        <v>9.4891514681645542E-2</v>
      </c>
    </row>
    <row r="67" spans="1:28" s="625" customFormat="1">
      <c r="A67" s="643">
        <f t="shared" si="12"/>
        <v>21</v>
      </c>
      <c r="B67" s="643">
        <f t="shared" si="13"/>
        <v>315</v>
      </c>
      <c r="C67" s="643">
        <f t="shared" si="2"/>
        <v>-0.16464017613386006</v>
      </c>
      <c r="D67" s="643">
        <f t="shared" si="3"/>
        <v>-0.10256006154870639</v>
      </c>
      <c r="E67" s="643">
        <f t="shared" si="4"/>
        <v>26.680879999999998</v>
      </c>
      <c r="F67" s="643">
        <f t="shared" si="5"/>
        <v>26.680880000000002</v>
      </c>
      <c r="G67" s="643">
        <f t="shared" si="6"/>
        <v>-18.905063862852792</v>
      </c>
      <c r="H67" s="643">
        <f t="shared" si="7"/>
        <v>-8.8106865587607874</v>
      </c>
      <c r="I67" s="643">
        <f t="shared" si="8"/>
        <v>31.661548998280182</v>
      </c>
      <c r="J67" s="643">
        <f t="shared" si="11"/>
        <v>52.518913100564788</v>
      </c>
      <c r="K67" s="643">
        <f t="shared" si="9"/>
        <v>52.673266175442251</v>
      </c>
      <c r="L67" s="670">
        <f t="shared" si="10"/>
        <v>50.566612861132967</v>
      </c>
      <c r="M67" s="671"/>
      <c r="N67" s="643">
        <f>N66+1</f>
        <v>3</v>
      </c>
      <c r="O67" s="643">
        <f>AB66</f>
        <v>9.4891514681645542E-2</v>
      </c>
      <c r="P67" s="643">
        <f t="shared" si="17"/>
        <v>9.4749171930159554E-2</v>
      </c>
      <c r="Q67" s="643">
        <f t="shared" si="18"/>
        <v>0.99550117750736444</v>
      </c>
      <c r="R67" s="643">
        <f t="shared" si="19"/>
        <v>-21.35899478571703</v>
      </c>
      <c r="S67" s="643">
        <f t="shared" si="20"/>
        <v>-0.33214834953377043</v>
      </c>
      <c r="T67" s="643">
        <f t="shared" si="21"/>
        <v>7.7090703771476683</v>
      </c>
      <c r="U67" s="643">
        <f t="shared" si="22"/>
        <v>-1.3805727797236176</v>
      </c>
      <c r="V67" s="643">
        <f t="shared" si="23"/>
        <v>10.288131281795339</v>
      </c>
      <c r="W67" s="643">
        <f t="shared" si="24"/>
        <v>1.3805727797236176</v>
      </c>
      <c r="X67" s="643">
        <f t="shared" si="25"/>
        <v>0.33214834953377026</v>
      </c>
      <c r="Y67" s="643">
        <f t="shared" si="26"/>
        <v>-7.7090703771476665</v>
      </c>
      <c r="Z67" s="643">
        <f t="shared" si="27"/>
        <v>-1.4444001550373287E-13</v>
      </c>
      <c r="AA67" s="643">
        <f t="shared" si="28"/>
        <v>-10.545902790415335</v>
      </c>
      <c r="AB67" s="643">
        <f t="shared" si="29"/>
        <v>9.4891514681631844E-2</v>
      </c>
    </row>
    <row r="68" spans="1:28" s="625" customFormat="1">
      <c r="A68" s="643">
        <f t="shared" si="12"/>
        <v>22</v>
      </c>
      <c r="B68" s="643">
        <f t="shared" si="13"/>
        <v>330</v>
      </c>
      <c r="C68" s="643">
        <f t="shared" si="2"/>
        <v>-0.13248570097678458</v>
      </c>
      <c r="D68" s="643">
        <f t="shared" si="3"/>
        <v>-0.14167742536816835</v>
      </c>
      <c r="E68" s="643">
        <f t="shared" si="4"/>
        <v>27.469984999999998</v>
      </c>
      <c r="F68" s="643">
        <f t="shared" si="5"/>
        <v>25.891775000000003</v>
      </c>
      <c r="G68" s="643">
        <f t="shared" si="6"/>
        <v>-19.906290704116774</v>
      </c>
      <c r="H68" s="643">
        <f t="shared" si="7"/>
        <v>-7.0899461615923949</v>
      </c>
      <c r="I68" s="643">
        <f t="shared" si="8"/>
        <v>32.66277583954416</v>
      </c>
      <c r="J68" s="643">
        <f t="shared" si="11"/>
        <v>53.79397898018631</v>
      </c>
      <c r="K68" s="643">
        <f t="shared" si="9"/>
        <v>50.670812492914287</v>
      </c>
      <c r="L68" s="670">
        <f t="shared" si="10"/>
        <v>52.569066543660938</v>
      </c>
      <c r="M68" s="671"/>
      <c r="N68" s="643">
        <f>N67+1</f>
        <v>4</v>
      </c>
      <c r="O68" s="643">
        <f>AB67</f>
        <v>9.4891514681631844E-2</v>
      </c>
      <c r="P68" s="643">
        <f t="shared" si="17"/>
        <v>9.4749171930145926E-2</v>
      </c>
      <c r="Q68" s="643">
        <f t="shared" si="18"/>
        <v>0.99550117750736566</v>
      </c>
      <c r="R68" s="643">
        <f t="shared" si="19"/>
        <v>-21.358994785717027</v>
      </c>
      <c r="S68" s="643">
        <f t="shared" si="20"/>
        <v>-0.33214834953387606</v>
      </c>
      <c r="T68" s="643">
        <f t="shared" si="21"/>
        <v>7.7090703771476496</v>
      </c>
      <c r="U68" s="643">
        <f t="shared" si="22"/>
        <v>-1.3805727797237586</v>
      </c>
      <c r="V68" s="643">
        <f t="shared" si="23"/>
        <v>10.288131281795321</v>
      </c>
      <c r="W68" s="643">
        <f t="shared" si="24"/>
        <v>1.3805727797237584</v>
      </c>
      <c r="X68" s="643">
        <f t="shared" si="25"/>
        <v>0.33214834953387584</v>
      </c>
      <c r="Y68" s="643">
        <f t="shared" si="26"/>
        <v>-7.7090703771476505</v>
      </c>
      <c r="Z68" s="643">
        <f t="shared" si="27"/>
        <v>-5.5511151231257827E-17</v>
      </c>
      <c r="AA68" s="643">
        <f t="shared" si="28"/>
        <v>-10.545902790415328</v>
      </c>
      <c r="AB68" s="643">
        <f t="shared" si="29"/>
        <v>9.4891514681631844E-2</v>
      </c>
    </row>
    <row r="69" spans="1:28" s="625" customFormat="1">
      <c r="A69" s="643">
        <f t="shared" si="12"/>
        <v>23</v>
      </c>
      <c r="B69" s="643">
        <f t="shared" si="13"/>
        <v>345</v>
      </c>
      <c r="C69" s="643">
        <f t="shared" si="2"/>
        <v>-9.1302544241114003E-2</v>
      </c>
      <c r="D69" s="643">
        <f t="shared" si="3"/>
        <v>-0.17113970678180537</v>
      </c>
      <c r="E69" s="643">
        <f t="shared" si="4"/>
        <v>28.047649952506642</v>
      </c>
      <c r="F69" s="643">
        <f t="shared" si="5"/>
        <v>25.314110047493362</v>
      </c>
      <c r="G69" s="643">
        <f t="shared" si="6"/>
        <v>-20.780358635399097</v>
      </c>
      <c r="H69" s="643">
        <f t="shared" si="7"/>
        <v>-4.8860376502014917</v>
      </c>
      <c r="I69" s="643">
        <f t="shared" si="8"/>
        <v>33.536843770826479</v>
      </c>
      <c r="J69" s="643">
        <f t="shared" si="11"/>
        <v>54.883896704076832</v>
      </c>
      <c r="K69" s="643">
        <f t="shared" si="9"/>
        <v>48.922676630349656</v>
      </c>
      <c r="L69" s="670">
        <f t="shared" si="10"/>
        <v>54.317202406225576</v>
      </c>
      <c r="M69" s="671"/>
      <c r="N69" s="643">
        <f>N68+1</f>
        <v>5</v>
      </c>
      <c r="O69" s="643">
        <f>AB68</f>
        <v>9.4891514681631844E-2</v>
      </c>
      <c r="P69" s="643">
        <f t="shared" si="17"/>
        <v>9.4749171930145926E-2</v>
      </c>
      <c r="Q69" s="643">
        <f t="shared" si="18"/>
        <v>0.99550117750736566</v>
      </c>
      <c r="R69" s="643">
        <f t="shared" si="19"/>
        <v>-21.358994785717027</v>
      </c>
      <c r="S69" s="643">
        <f t="shared" si="20"/>
        <v>-0.33214834953387606</v>
      </c>
      <c r="T69" s="643">
        <f t="shared" si="21"/>
        <v>7.7090703771476496</v>
      </c>
      <c r="U69" s="643">
        <f t="shared" si="22"/>
        <v>-1.3805727797237586</v>
      </c>
      <c r="V69" s="643">
        <f t="shared" si="23"/>
        <v>10.288131281795321</v>
      </c>
      <c r="W69" s="643">
        <f t="shared" si="24"/>
        <v>1.3805727797237584</v>
      </c>
      <c r="X69" s="643">
        <f t="shared" si="25"/>
        <v>0.33214834953387584</v>
      </c>
      <c r="Y69" s="643">
        <f t="shared" si="26"/>
        <v>-7.7090703771476505</v>
      </c>
      <c r="Z69" s="643">
        <f t="shared" si="27"/>
        <v>-5.5511151231257827E-17</v>
      </c>
      <c r="AA69" s="643">
        <f t="shared" si="28"/>
        <v>-10.545902790415328</v>
      </c>
      <c r="AB69" s="643">
        <f t="shared" si="29"/>
        <v>9.4891514681631844E-2</v>
      </c>
    </row>
    <row r="70" spans="1:28" s="625" customFormat="1">
      <c r="A70" s="643">
        <f t="shared" si="12"/>
        <v>24</v>
      </c>
      <c r="B70" s="643">
        <f t="shared" si="13"/>
        <v>360</v>
      </c>
      <c r="C70" s="643">
        <f t="shared" si="2"/>
        <v>-4.3897270000000051E-2</v>
      </c>
      <c r="D70" s="643">
        <f t="shared" si="3"/>
        <v>-0.1889391</v>
      </c>
      <c r="E70" s="643">
        <f t="shared" si="4"/>
        <v>28.25909</v>
      </c>
      <c r="F70" s="643">
        <f t="shared" si="5"/>
        <v>25.10267</v>
      </c>
      <c r="G70" s="643">
        <f t="shared" si="6"/>
        <v>-21.2930618603827</v>
      </c>
      <c r="H70" s="643">
        <f t="shared" si="7"/>
        <v>-2.3491537475083586</v>
      </c>
      <c r="I70" s="643">
        <f t="shared" si="8"/>
        <v>34.04954699581009</v>
      </c>
      <c r="J70" s="643">
        <f t="shared" si="11"/>
        <v>55.471801935930586</v>
      </c>
      <c r="K70" s="643">
        <f t="shared" si="9"/>
        <v>47.897270180382435</v>
      </c>
      <c r="L70" s="670">
        <f t="shared" si="10"/>
        <v>55.342608856192783</v>
      </c>
      <c r="M70" s="671"/>
      <c r="N70" s="643">
        <f>N69+1</f>
        <v>6</v>
      </c>
      <c r="O70" s="643">
        <f>AB69</f>
        <v>9.4891514681631844E-2</v>
      </c>
      <c r="P70" s="643">
        <f t="shared" si="17"/>
        <v>9.4749171930145926E-2</v>
      </c>
      <c r="Q70" s="643">
        <f t="shared" si="18"/>
        <v>0.99550117750736566</v>
      </c>
      <c r="R70" s="643">
        <f t="shared" si="19"/>
        <v>-21.358994785717027</v>
      </c>
      <c r="S70" s="643">
        <f t="shared" si="20"/>
        <v>-0.33214834953387606</v>
      </c>
      <c r="T70" s="643">
        <f t="shared" si="21"/>
        <v>7.7090703771476496</v>
      </c>
      <c r="U70" s="643">
        <f t="shared" si="22"/>
        <v>-1.3805727797237586</v>
      </c>
      <c r="V70" s="643">
        <f t="shared" si="23"/>
        <v>10.288131281795321</v>
      </c>
      <c r="W70" s="643">
        <f t="shared" si="24"/>
        <v>1.3805727797237584</v>
      </c>
      <c r="X70" s="643">
        <f t="shared" si="25"/>
        <v>0.33214834953387584</v>
      </c>
      <c r="Y70" s="643">
        <f t="shared" si="26"/>
        <v>-7.7090703771476505</v>
      </c>
      <c r="Z70" s="643">
        <f t="shared" si="27"/>
        <v>-5.5511151231257827E-17</v>
      </c>
      <c r="AA70" s="643">
        <f t="shared" si="28"/>
        <v>-10.545902790415328</v>
      </c>
      <c r="AB70" s="643">
        <f t="shared" si="29"/>
        <v>9.4891514681631844E-2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-8.2220657071849779E-2</v>
      </c>
      <c r="D73" s="643">
        <f t="shared" ref="D73:D85" si="32">$E$19*SIN(B73*PI()/180)+$E$20*COS(B73*PI()/180)</f>
        <v>-0.17568357172182089</v>
      </c>
      <c r="E73" s="643">
        <f t="shared" ref="E73:E85" si="33">$E$22*COS(B73*PI()/180)^2+$E$23*SIN(B73*PI()/180)^2</f>
        <v>28.122646576706135</v>
      </c>
      <c r="F73" s="643">
        <f t="shared" ref="F73:F85" si="34">$E$22*SIN(B73*PI()/180)^2+$E$23*COS(B73*PI()/180)^2</f>
        <v>25.239113423293873</v>
      </c>
      <c r="G73" s="643">
        <f t="shared" ref="G73:G85" si="35">($E$18*(C73+$E$28)^2-$E$18*($E$21+$E$26)^2+$E$24-E73)/2</f>
        <v>-20.917927749107783</v>
      </c>
      <c r="H73" s="643">
        <f t="shared" ref="H73:H85" si="36">$E$18*(C73+$E$28)*($E$21+$E$26)</f>
        <v>-4.400022249286466</v>
      </c>
      <c r="I73" s="643">
        <f t="shared" ref="I73:I85" si="37">$E$18*((C73+$E$28)^2+($E$21+$E$26)^2)/2+$E$18*(D73+$E$27)^2+($E$24+E73)/2</f>
        <v>33.674412884535165</v>
      </c>
      <c r="J73" s="643">
        <f>SQRT(G73^2+H73^2)+I73</f>
        <v>55.050097601313468</v>
      </c>
      <c r="K73" s="670">
        <f>IF(G73=0,0,IF((PI()/2-ATAN2(H73,G73))/2*180/PI()&gt;90,(PI()/2-ATAN2(H73,G73))/2*180/PI()-180,(PI()/2-ATAN2(H73,G73))/2*180/PI()))</f>
        <v>-84.060591601496483</v>
      </c>
      <c r="L73" s="670">
        <f>IF(G73=0,0,SQRT(G73^2+H73^2)*SIN(2*K73*PI()/180+ATAN2(H73,G73))+I73)</f>
        <v>55.050097601313468</v>
      </c>
    </row>
    <row r="74" spans="1:28" s="625" customFormat="1">
      <c r="A74" s="643">
        <v>1</v>
      </c>
      <c r="B74" s="643">
        <f t="shared" si="30"/>
        <v>-10</v>
      </c>
      <c r="C74" s="643">
        <f t="shared" si="31"/>
        <v>-7.603930223710012E-2</v>
      </c>
      <c r="D74" s="643">
        <f t="shared" si="32"/>
        <v>-0.17844600958709564</v>
      </c>
      <c r="E74" s="643">
        <f t="shared" si="33"/>
        <v>28.163912291050526</v>
      </c>
      <c r="F74" s="643">
        <f t="shared" si="34"/>
        <v>25.197847708949471</v>
      </c>
      <c r="G74" s="643">
        <f t="shared" si="35"/>
        <v>-21.000680177533454</v>
      </c>
      <c r="H74" s="643">
        <f t="shared" si="36"/>
        <v>-4.0692282642680109</v>
      </c>
      <c r="I74" s="643">
        <f t="shared" si="37"/>
        <v>33.757165312960836</v>
      </c>
      <c r="J74" s="643">
        <f>SQRT(G74^2+H74^2)+I74</f>
        <v>55.148452945680944</v>
      </c>
      <c r="K74" s="670">
        <f t="shared" ref="K74:K85" si="38">IF(G74=0,0,IF((PI()/2-ATAN2(H74,G74))/2*180/PI()&gt;90,(PI()/2-ATAN2(H74,G74))/2*180/PI()-180,(PI()/2-ATAN2(H74,G74))/2*180/PI()))</f>
        <v>-84.516946112215209</v>
      </c>
      <c r="L74" s="670">
        <f t="shared" ref="L74:L85" si="39">IF(G74=0,0,SQRT(G74^2+H74^2)*SIN(2*K74*PI()/180+ATAN2(H74,G74))+I74)</f>
        <v>55.148452945680944</v>
      </c>
    </row>
    <row r="75" spans="1:28" s="625" customFormat="1">
      <c r="A75" s="643">
        <f>A74+1</f>
        <v>2</v>
      </c>
      <c r="B75" s="643">
        <f t="shared" si="30"/>
        <v>-8</v>
      </c>
      <c r="C75" s="643">
        <f t="shared" si="31"/>
        <v>-6.9765305225531177E-2</v>
      </c>
      <c r="D75" s="643">
        <f t="shared" si="32"/>
        <v>-0.1809910384771892</v>
      </c>
      <c r="E75" s="643">
        <f t="shared" si="33"/>
        <v>28.197952821146821</v>
      </c>
      <c r="F75" s="643">
        <f t="shared" si="34"/>
        <v>25.163807178853187</v>
      </c>
      <c r="G75" s="643">
        <f t="shared" si="35"/>
        <v>-21.075788824721435</v>
      </c>
      <c r="H75" s="643">
        <f t="shared" si="36"/>
        <v>-3.7334765514261106</v>
      </c>
      <c r="I75" s="643">
        <f t="shared" si="37"/>
        <v>33.832273960148825</v>
      </c>
      <c r="J75" s="643">
        <f t="shared" ref="J75:J84" si="40">SQRT(G75^2+H75^2)+I75</f>
        <v>55.236192333762133</v>
      </c>
      <c r="K75" s="670">
        <f t="shared" si="38"/>
        <v>-84.977267466116658</v>
      </c>
      <c r="L75" s="670">
        <f t="shared" si="39"/>
        <v>55.236192333762133</v>
      </c>
    </row>
    <row r="76" spans="1:28" s="625" customFormat="1">
      <c r="A76" s="643">
        <f t="shared" ref="A76:A84" si="41">A75+1</f>
        <v>3</v>
      </c>
      <c r="B76" s="643">
        <f t="shared" si="30"/>
        <v>-6</v>
      </c>
      <c r="C76" s="643">
        <f t="shared" si="31"/>
        <v>-6.3406309936066343E-2</v>
      </c>
      <c r="D76" s="643">
        <f t="shared" si="32"/>
        <v>-0.18331555766643046</v>
      </c>
      <c r="E76" s="643">
        <f t="shared" si="33"/>
        <v>28.224602324954095</v>
      </c>
      <c r="F76" s="643">
        <f t="shared" si="34"/>
        <v>25.137157675045898</v>
      </c>
      <c r="G76" s="643">
        <f t="shared" si="35"/>
        <v>-21.142887768892518</v>
      </c>
      <c r="H76" s="643">
        <f t="shared" si="36"/>
        <v>-3.3931761725042708</v>
      </c>
      <c r="I76" s="643">
        <f t="shared" si="37"/>
        <v>33.899372904319904</v>
      </c>
      <c r="J76" s="643">
        <f t="shared" si="40"/>
        <v>55.312811389197471</v>
      </c>
      <c r="K76" s="670">
        <f t="shared" si="38"/>
        <v>-85.441236122166643</v>
      </c>
      <c r="L76" s="670">
        <f t="shared" si="39"/>
        <v>55.312811389197471</v>
      </c>
    </row>
    <row r="77" spans="1:28" s="625" customFormat="1">
      <c r="A77" s="643">
        <f t="shared" si="41"/>
        <v>4</v>
      </c>
      <c r="B77" s="643">
        <f t="shared" si="30"/>
        <v>-4</v>
      </c>
      <c r="C77" s="643">
        <f t="shared" si="31"/>
        <v>-5.6970063824937738E-2</v>
      </c>
      <c r="D77" s="643">
        <f t="shared" si="32"/>
        <v>-0.18541673508625217</v>
      </c>
      <c r="E77" s="643">
        <f t="shared" si="33"/>
        <v>28.243730968768631</v>
      </c>
      <c r="F77" s="643">
        <f t="shared" si="34"/>
        <v>25.118029031231362</v>
      </c>
      <c r="G77" s="643">
        <f t="shared" si="35"/>
        <v>-21.201650110735464</v>
      </c>
      <c r="H77" s="643">
        <f t="shared" si="36"/>
        <v>-3.0487417310949567</v>
      </c>
      <c r="I77" s="643">
        <f t="shared" si="37"/>
        <v>33.958135246162854</v>
      </c>
      <c r="J77" s="643">
        <f t="shared" si="40"/>
        <v>55.377864319168637</v>
      </c>
      <c r="K77" s="670">
        <f t="shared" si="38"/>
        <v>-85.908555219465285</v>
      </c>
      <c r="L77" s="670">
        <f t="shared" si="39"/>
        <v>55.377864319168637</v>
      </c>
    </row>
    <row r="78" spans="1:28" s="625" customFormat="1">
      <c r="A78" s="643">
        <f t="shared" si="41"/>
        <v>5</v>
      </c>
      <c r="B78" s="643">
        <f t="shared" si="30"/>
        <v>-2</v>
      </c>
      <c r="C78" s="643">
        <f t="shared" si="31"/>
        <v>-5.0464408466604049E-2</v>
      </c>
      <c r="D78" s="643">
        <f t="shared" si="32"/>
        <v>-0.18729201077562985</v>
      </c>
      <c r="E78" s="643">
        <f t="shared" si="33"/>
        <v>28.25524555976056</v>
      </c>
      <c r="F78" s="643">
        <f t="shared" si="34"/>
        <v>25.106514440239444</v>
      </c>
      <c r="G78" s="643">
        <f t="shared" si="35"/>
        <v>-21.25178956602759</v>
      </c>
      <c r="H78" s="643">
        <f t="shared" si="36"/>
        <v>-2.7005928675089659</v>
      </c>
      <c r="I78" s="643">
        <f t="shared" si="37"/>
        <v>34.00827470145498</v>
      </c>
      <c r="J78" s="643">
        <f t="shared" si="40"/>
        <v>55.43096737989201</v>
      </c>
      <c r="K78" s="670">
        <f t="shared" si="38"/>
        <v>-86.378948209895242</v>
      </c>
      <c r="L78" s="670">
        <f t="shared" si="39"/>
        <v>55.43096737989201</v>
      </c>
    </row>
    <row r="79" spans="1:28" s="625" customFormat="1" ht="14.25">
      <c r="A79" s="695">
        <f t="shared" si="41"/>
        <v>6</v>
      </c>
      <c r="B79" s="695">
        <f>INDEX($B46:$B70,MATCH($J$44,$J$46:$J$70,0))</f>
        <v>0</v>
      </c>
      <c r="C79" s="695">
        <f t="shared" si="31"/>
        <v>-4.3897270000000002E-2</v>
      </c>
      <c r="D79" s="695">
        <f t="shared" si="32"/>
        <v>-0.1889391</v>
      </c>
      <c r="E79" s="695">
        <f t="shared" si="33"/>
        <v>28.25909</v>
      </c>
      <c r="F79" s="695">
        <f t="shared" si="34"/>
        <v>25.10267</v>
      </c>
      <c r="G79" s="695">
        <f t="shared" si="35"/>
        <v>-21.2930618603827</v>
      </c>
      <c r="H79" s="695">
        <f t="shared" si="36"/>
        <v>-2.3491537475083559</v>
      </c>
      <c r="I79" s="695">
        <f t="shared" si="37"/>
        <v>34.04954699581009</v>
      </c>
      <c r="J79" s="695">
        <f t="shared" si="40"/>
        <v>55.471801935930586</v>
      </c>
      <c r="K79" s="670">
        <f t="shared" si="38"/>
        <v>-86.852156216677102</v>
      </c>
      <c r="L79" s="670">
        <f t="shared" si="39"/>
        <v>55.471801935930586</v>
      </c>
    </row>
    <row r="80" spans="1:28" s="625" customFormat="1">
      <c r="A80" s="643">
        <f t="shared" si="41"/>
        <v>7</v>
      </c>
      <c r="B80" s="643">
        <f t="shared" ref="B80:B85" si="42">B79+2</f>
        <v>2</v>
      </c>
      <c r="C80" s="643">
        <f t="shared" si="31"/>
        <v>-3.7276649471757045E-2</v>
      </c>
      <c r="D80" s="643">
        <f t="shared" si="32"/>
        <v>-0.19035599603485742</v>
      </c>
      <c r="E80" s="643">
        <f t="shared" si="33"/>
        <v>28.25524555976056</v>
      </c>
      <c r="F80" s="643">
        <f t="shared" si="34"/>
        <v>25.106514440239444</v>
      </c>
      <c r="G80" s="643">
        <f t="shared" si="35"/>
        <v>-21.325265919331386</v>
      </c>
      <c r="H80" s="643">
        <f t="shared" si="36"/>
        <v>-1.9948525455258026</v>
      </c>
      <c r="I80" s="643">
        <f t="shared" si="37"/>
        <v>34.081751054758769</v>
      </c>
      <c r="J80" s="643">
        <f t="shared" si="40"/>
        <v>55.500117080405715</v>
      </c>
      <c r="K80" s="670">
        <f t="shared" si="38"/>
        <v>-87.32793514851798</v>
      </c>
      <c r="L80" s="670">
        <f t="shared" si="39"/>
        <v>55.500117080405715</v>
      </c>
    </row>
    <row r="81" spans="1:16" s="625" customFormat="1">
      <c r="A81" s="643">
        <f t="shared" si="41"/>
        <v>8</v>
      </c>
      <c r="B81" s="643">
        <f t="shared" si="42"/>
        <v>4</v>
      </c>
      <c r="C81" s="643">
        <f t="shared" si="31"/>
        <v>-3.0610613088160411E-2</v>
      </c>
      <c r="D81" s="643">
        <f t="shared" si="32"/>
        <v>-0.19154097261063974</v>
      </c>
      <c r="E81" s="643">
        <f t="shared" si="33"/>
        <v>28.243730968768631</v>
      </c>
      <c r="F81" s="643">
        <f t="shared" si="34"/>
        <v>25.118029031231362</v>
      </c>
      <c r="G81" s="643">
        <f t="shared" si="35"/>
        <v>-21.348244847935575</v>
      </c>
      <c r="H81" s="643">
        <f t="shared" si="36"/>
        <v>-1.6381209230000033</v>
      </c>
      <c r="I81" s="643">
        <f t="shared" si="37"/>
        <v>34.104729983362958</v>
      </c>
      <c r="J81" s="643">
        <f t="shared" si="40"/>
        <v>55.515731787243553</v>
      </c>
      <c r="K81" s="670">
        <f t="shared" si="38"/>
        <v>-87.806052600057257</v>
      </c>
      <c r="L81" s="670">
        <f t="shared" si="39"/>
        <v>55.515731787243553</v>
      </c>
    </row>
    <row r="82" spans="1:16" s="625" customFormat="1">
      <c r="A82" s="643">
        <f t="shared" si="41"/>
        <v>9</v>
      </c>
      <c r="B82" s="643">
        <f t="shared" si="42"/>
        <v>6</v>
      </c>
      <c r="C82" s="643">
        <f t="shared" si="31"/>
        <v>-2.3907282387719341E-2</v>
      </c>
      <c r="D82" s="643">
        <f t="shared" si="32"/>
        <v>-0.19249258601592098</v>
      </c>
      <c r="E82" s="643">
        <f t="shared" si="33"/>
        <v>28.224602324954095</v>
      </c>
      <c r="F82" s="643">
        <f t="shared" si="34"/>
        <v>25.137157675045898</v>
      </c>
      <c r="G82" s="643">
        <f t="shared" si="35"/>
        <v>-21.361886695164955</v>
      </c>
      <c r="H82" s="643">
        <f t="shared" si="36"/>
        <v>-1.2793935024627137</v>
      </c>
      <c r="I82" s="643">
        <f t="shared" si="37"/>
        <v>34.118371830592338</v>
      </c>
      <c r="J82" s="643">
        <f t="shared" si="40"/>
        <v>55.518536570874346</v>
      </c>
      <c r="K82" s="670">
        <f t="shared" si="38"/>
        <v>-88.286284570256086</v>
      </c>
      <c r="L82" s="670">
        <f t="shared" si="39"/>
        <v>55.518536570874346</v>
      </c>
    </row>
    <row r="83" spans="1:16" s="625" customFormat="1">
      <c r="A83" s="643">
        <f t="shared" si="41"/>
        <v>10</v>
      </c>
      <c r="B83" s="643">
        <f t="shared" si="42"/>
        <v>8</v>
      </c>
      <c r="C83" s="643">
        <f t="shared" si="31"/>
        <v>-1.7174824346323378E-2</v>
      </c>
      <c r="D83" s="643">
        <f t="shared" si="32"/>
        <v>-0.19320967685635168</v>
      </c>
      <c r="E83" s="643">
        <f t="shared" si="33"/>
        <v>28.197952821146821</v>
      </c>
      <c r="F83" s="643">
        <f t="shared" si="34"/>
        <v>25.163807178853187</v>
      </c>
      <c r="G83" s="643">
        <f t="shared" si="35"/>
        <v>-21.366124999311101</v>
      </c>
      <c r="H83" s="643">
        <f t="shared" si="36"/>
        <v>-0.91910733801813438</v>
      </c>
      <c r="I83" s="643">
        <f t="shared" si="37"/>
        <v>34.122610134738494</v>
      </c>
      <c r="J83" s="643">
        <f t="shared" si="40"/>
        <v>55.508494633280648</v>
      </c>
      <c r="K83" s="670">
        <f t="shared" si="38"/>
        <v>-88.768412031338698</v>
      </c>
      <c r="L83" s="670">
        <f t="shared" si="39"/>
        <v>55.508494633280648</v>
      </c>
    </row>
    <row r="84" spans="1:16" s="625" customFormat="1">
      <c r="A84" s="643">
        <f t="shared" si="41"/>
        <v>11</v>
      </c>
      <c r="B84" s="643">
        <f t="shared" si="42"/>
        <v>10</v>
      </c>
      <c r="C84" s="643">
        <f t="shared" si="31"/>
        <v>-1.0421441427040289E-2</v>
      </c>
      <c r="D84" s="643">
        <f t="shared" si="32"/>
        <v>-0.19369137146720208</v>
      </c>
      <c r="E84" s="643">
        <f t="shared" si="33"/>
        <v>28.163912291050526</v>
      </c>
      <c r="F84" s="643">
        <f t="shared" si="34"/>
        <v>25.197847708949471</v>
      </c>
      <c r="G84" s="643">
        <f t="shared" si="35"/>
        <v>-21.36093911178223</v>
      </c>
      <c r="H84" s="643">
        <f t="shared" si="36"/>
        <v>-0.55770138285981163</v>
      </c>
      <c r="I84" s="643">
        <f t="shared" si="37"/>
        <v>34.117424247209613</v>
      </c>
      <c r="J84" s="643">
        <f t="shared" si="40"/>
        <v>55.485642482937912</v>
      </c>
      <c r="K84" s="670">
        <f t="shared" si="38"/>
        <v>-89.252217381956655</v>
      </c>
      <c r="L84" s="670">
        <f t="shared" si="39"/>
        <v>55.485642482937912</v>
      </c>
    </row>
    <row r="85" spans="1:16" s="625" customFormat="1">
      <c r="A85" s="643">
        <f>A84+1</f>
        <v>12</v>
      </c>
      <c r="B85" s="643">
        <f t="shared" si="42"/>
        <v>12</v>
      </c>
      <c r="C85" s="643">
        <f t="shared" si="31"/>
        <v>-3.6553615866783545E-3</v>
      </c>
      <c r="D85" s="643">
        <f t="shared" si="32"/>
        <v>-0.19393708297778831</v>
      </c>
      <c r="E85" s="643">
        <f t="shared" si="33"/>
        <v>28.122646576706135</v>
      </c>
      <c r="F85" s="643">
        <f t="shared" si="34"/>
        <v>25.239113423293873</v>
      </c>
      <c r="G85" s="643">
        <f t="shared" si="35"/>
        <v>-21.346354297701112</v>
      </c>
      <c r="H85" s="643">
        <f t="shared" si="36"/>
        <v>-0.19561595447378724</v>
      </c>
      <c r="I85" s="643">
        <f t="shared" si="37"/>
        <v>34.102839433128494</v>
      </c>
      <c r="J85" s="643">
        <f>SQRT(G85^2+H85^2)+I85</f>
        <v>55.450090014986273</v>
      </c>
      <c r="K85" s="670">
        <f t="shared" si="38"/>
        <v>-89.737480819475564</v>
      </c>
      <c r="L85" s="670">
        <f t="shared" si="39"/>
        <v>55.450090014986273</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5.436883302861192</v>
      </c>
      <c r="C89" s="643">
        <f>$E$19*COS(B89*PI()/180)-$E$20*SIN(B89*PI()/180)</f>
        <v>-2.5797960704131727E-2</v>
      </c>
      <c r="D89" s="643">
        <f>$E$19*SIN(B89*PI()/180)+$E$20*COS(B89*PI()/180)</f>
        <v>-0.19224832650967597</v>
      </c>
      <c r="E89" s="643">
        <f>$E$22*COS(B89*PI()/180)^2+$E$23*SIN(B89*PI()/180)^2</f>
        <v>28.230753537474602</v>
      </c>
      <c r="F89" s="670">
        <f>$E$22*SIN(B89*PI()/180)^2+$E$23*COS(B89*PI()/180)^2</f>
        <v>25.131006462525391</v>
      </c>
      <c r="G89" s="643">
        <f>($E$18*(C89+$E$28)^2-$E$18*($E$21+$E$26)^2+$E$24-E89)/2</f>
        <v>-21.358994785717023</v>
      </c>
      <c r="H89" s="643">
        <f>$E$18*(C89+$E$28)*($E$21+$E$26)</f>
        <v>-1.3805727797237586</v>
      </c>
      <c r="I89" s="643">
        <f>$E$18*((C89+$E$28)^2+($E$21+$E$26)^2)/2+$E$18*(D89+$E$27)^2+($E$24+E89)/2</f>
        <v>34.115479921144413</v>
      </c>
      <c r="J89" s="702">
        <f>SQRT(G89^2+H89^2)+I89</f>
        <v>55.519045966465015</v>
      </c>
      <c r="K89" s="659">
        <f>$E$18*((C89+$E$28)^2+($E$21+$E$26)^2)+F89</f>
        <v>47.765404329713782</v>
      </c>
      <c r="L89" s="659">
        <f>$E$18*(D89^2+($E$21+$E$26)^2)+E89</f>
        <v>55.474474706861436</v>
      </c>
      <c r="N89" s="643">
        <f>IF(G89=0,0,IF((PI()/2-ATAN2(H89,G89))/2*180/PI()&gt;90,(PI()/2-ATAN2(H89,G89))/2*180/PI()-180,(PI()/2-ATAN2(H89,G89))/2*180/PI()))</f>
        <v>-88.150870130287373</v>
      </c>
      <c r="O89" s="643">
        <f>IF(G89=0,0,SQRT(G89^2+H89^2)*SIN(2*N89*PI()/180+ATAN2(H89,G89))+I89)</f>
        <v>55.519045966465015</v>
      </c>
      <c r="P89" s="703"/>
    </row>
    <row r="90" spans="1:16" s="625" customFormat="1" ht="14.25">
      <c r="A90" s="664" t="s">
        <v>1584</v>
      </c>
      <c r="B90" s="701">
        <f>N46</f>
        <v>97.899411580895787</v>
      </c>
      <c r="C90" s="643">
        <f>$E$19*COS(B90*PI()/180)-$E$20*SIN(B90*PI()/180)</f>
        <v>0.19317922701720702</v>
      </c>
      <c r="D90" s="670">
        <f>$E$19*SIN(B90*PI()/180)+$E$20*COS(B90*PI()/180)</f>
        <v>-1.7513996439913134E-2</v>
      </c>
      <c r="E90" s="670">
        <f>$E$22*COS(B90*PI()/180)^2+$E$23*SIN(B90*PI()/180)^2</f>
        <v>25.162289114526253</v>
      </c>
      <c r="F90" s="643">
        <f>$E$22*SIN(B90*PI()/180)^2+$E$23*COS(B90*PI()/180)^2</f>
        <v>28.199470885473751</v>
      </c>
      <c r="G90" s="670">
        <f>($E$18*(C90+$E$28)^2-$E$18*($E$21+$E$26)^2+$E$24-E90)/2</f>
        <v>-17.497317459363771</v>
      </c>
      <c r="H90" s="670">
        <f>$E$18*(C90+$E$28)*($E$21+$E$26)</f>
        <v>10.337948238882266</v>
      </c>
      <c r="I90" s="670">
        <f>$E$18*((C90+$E$28)^2+($E$21+$E$26)^2)/2+$E$18*(D90+$E$27)^2+($E$24+E90)/2</f>
        <v>30.253802594791157</v>
      </c>
      <c r="J90" s="670">
        <f>SQRT(G90^2+H90^2)+I90</f>
        <v>50.57692469902419</v>
      </c>
      <c r="K90" s="702">
        <f>$E$18*((C90+$E$28)^2+($E$21+$E$26)^2)+F90</f>
        <v>55.4887589824203</v>
      </c>
      <c r="L90" s="659">
        <f>$E$18*(D90^2+($E$21+$E$26)^2)+E90</f>
        <v>47.751120054154924</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0.19397152838048912</v>
      </c>
      <c r="P5" s="10"/>
      <c r="Q5" s="4" t="s">
        <v>91</v>
      </c>
      <c r="R5" s="10"/>
    </row>
    <row r="6" spans="1:18" ht="14.1" customHeight="1">
      <c r="B6" s="14" t="s">
        <v>427</v>
      </c>
      <c r="C6" s="72">
        <f>VLOOKUP($C$3,Table1,12)</f>
        <v>210</v>
      </c>
      <c r="D6" s="68">
        <f>HLOOKUP($C$4,$E$4:$H$12,3)</f>
        <v>127</v>
      </c>
      <c r="E6" s="68">
        <f>'Payload Input'!$E$18</f>
        <v>127</v>
      </c>
      <c r="F6" s="68">
        <f>'Payload Input'!$E$18</f>
        <v>127</v>
      </c>
      <c r="G6" s="147">
        <f>IF(('Misc Data'!$B$11=3),Anal_Input_1, 0)</f>
        <v>0</v>
      </c>
      <c r="H6" s="155">
        <f>I6</f>
        <v>0</v>
      </c>
      <c r="I6" s="156">
        <f>IF(('Misc Data'!$B$11=4),Anal_Input_1, 0)</f>
        <v>0</v>
      </c>
      <c r="J6" s="39"/>
      <c r="K6" s="51"/>
      <c r="L6" s="52"/>
      <c r="M6" s="400"/>
      <c r="N6" s="391" t="s">
        <v>840</v>
      </c>
      <c r="O6" s="52">
        <f>'Payload Input'!$E$21+'Payload Input'!$E$26</f>
        <v>0.42137639999999998</v>
      </c>
      <c r="Q6" s="31" t="s">
        <v>427</v>
      </c>
      <c r="R6" s="450">
        <f>D6</f>
        <v>127</v>
      </c>
    </row>
    <row r="7" spans="1:18" ht="14.1" customHeight="1">
      <c r="B7" s="14" t="s">
        <v>364</v>
      </c>
      <c r="C7" s="72">
        <f>VLOOKUP($C$3,Table1,6)</f>
        <v>1333</v>
      </c>
      <c r="D7" s="68">
        <f>IF(OR(Anal_Robot_Code=10111,Anal_Robot_Code=10214,Anal_Robot_Code=10215),"-",HLOOKUP($C$4,$E$4:$H$12,4))</f>
        <v>577.34286119816602</v>
      </c>
      <c r="E7" s="68">
        <f>'Payload Input'!$E$31</f>
        <v>577.34286119816602</v>
      </c>
      <c r="F7" s="68">
        <f>'Payload Input'!$E$31</f>
        <v>577.34286119816602</v>
      </c>
      <c r="G7" s="147">
        <f>IF(('Misc Data'!$B$11=3),Anal_Input_2, 0)</f>
        <v>0</v>
      </c>
      <c r="H7" s="155">
        <f>I7</f>
        <v>0</v>
      </c>
      <c r="I7" s="156">
        <f>IF(('Misc Data'!$B$11=4),Anal_Input_2, 0)</f>
        <v>0</v>
      </c>
      <c r="J7" s="39"/>
      <c r="K7" s="51" t="s">
        <v>1564</v>
      </c>
      <c r="L7" s="52">
        <f>D8*SIN(RADIANS(O10))</f>
        <v>241.41696422235674</v>
      </c>
      <c r="M7" s="39"/>
      <c r="N7" s="391" t="s">
        <v>3494</v>
      </c>
      <c r="O7" s="52">
        <f>DEGREES(IF(O6=0,0,ATAN2(O6,O5)))</f>
        <v>24.717958605106492</v>
      </c>
      <c r="Q7" s="31" t="s">
        <v>364</v>
      </c>
      <c r="R7" s="31">
        <f>IF(Axis_Type&lt;&gt;2,D7,IF(Wrist_Down_Fix=1,L7,D8))</f>
        <v>577.34286119816602</v>
      </c>
    </row>
    <row r="8" spans="1:18" ht="14.1" customHeight="1">
      <c r="A8" s="4"/>
      <c r="B8" s="14" t="s">
        <v>365</v>
      </c>
      <c r="C8" s="72">
        <f>VLOOKUP($C$3,Table1,7)</f>
        <v>1333</v>
      </c>
      <c r="D8" s="68">
        <f>HLOOKUP($C$4,$E$4:$H$12,5)</f>
        <v>577.34286119816602</v>
      </c>
      <c r="E8" s="68">
        <f>'Payload Input'!$E$32</f>
        <v>577.34286119816602</v>
      </c>
      <c r="F8" s="68">
        <f>'Payload Input'!$E$32</f>
        <v>577.34286119816602</v>
      </c>
      <c r="G8" s="147">
        <f>IF(('Misc Data'!$B$11=3),Anal_Input_3, 0)</f>
        <v>0</v>
      </c>
      <c r="H8" s="155">
        <f>I8</f>
        <v>0</v>
      </c>
      <c r="I8" s="156">
        <f>IF(('Misc Data'!$B$11=4),Anal_Input_3, 0)</f>
        <v>0</v>
      </c>
      <c r="J8" s="39"/>
      <c r="K8" s="51" t="s">
        <v>3182</v>
      </c>
      <c r="L8" s="52">
        <f>D9*SIN(RADIANS(L5))</f>
        <v>0</v>
      </c>
      <c r="M8" s="39"/>
      <c r="N8" s="391" t="s">
        <v>1493</v>
      </c>
      <c r="O8" s="52">
        <f>O7+L5</f>
        <v>24.717958605106492</v>
      </c>
      <c r="Q8" s="31" t="s">
        <v>365</v>
      </c>
      <c r="R8" s="31">
        <f>IF(Axis_Type&lt;&gt;2,D8,IF(Wrist_Down_Fix=1,L8,D9))</f>
        <v>577.34286119816602</v>
      </c>
    </row>
    <row r="9" spans="1:18" ht="14.1" customHeight="1">
      <c r="B9" s="14" t="s">
        <v>366</v>
      </c>
      <c r="C9" s="72">
        <f>VLOOKUP($C$3,Table1,8)</f>
        <v>706</v>
      </c>
      <c r="D9" s="68">
        <f>HLOOKUP($C$4,$E$4:$H$12,6)</f>
        <v>241.41696422235677</v>
      </c>
      <c r="E9" s="68">
        <f>'Payload Input'!$E$33</f>
        <v>241.41696422235677</v>
      </c>
      <c r="F9" s="68">
        <f>'Payload Input'!$E$33</f>
        <v>241.41696422235677</v>
      </c>
      <c r="G9" s="147">
        <f>IF(('Misc Data'!$B$11=3),Anal_Input_4, 0)</f>
        <v>0</v>
      </c>
      <c r="H9" s="155">
        <f>I9</f>
        <v>0</v>
      </c>
      <c r="I9" s="156">
        <f>IF(('Misc Data'!$B$11=4),Anal_Input_4, 0)</f>
        <v>0</v>
      </c>
      <c r="J9" s="39"/>
      <c r="K9" s="51"/>
      <c r="L9" s="52"/>
      <c r="M9" s="39"/>
      <c r="N9" s="391" t="s">
        <v>2815</v>
      </c>
      <c r="O9" s="52">
        <f>O7-L5</f>
        <v>24.717958605106492</v>
      </c>
      <c r="Q9" s="31" t="s">
        <v>366</v>
      </c>
      <c r="R9" s="31">
        <f>IF(Axis_Count=1,0,D9)</f>
        <v>241.41696422235677</v>
      </c>
    </row>
    <row r="10" spans="1:18" ht="14.1" customHeight="1" thickBot="1">
      <c r="B10" s="14" t="s">
        <v>1914</v>
      </c>
      <c r="C10" s="72">
        <f>VLOOKUP($C$3,Table1,9)</f>
        <v>141.1</v>
      </c>
      <c r="D10" s="68">
        <f>HLOOKUP($C$4,$E$4:$H$12,7)</f>
        <v>55.519045966465015</v>
      </c>
      <c r="E10" s="68">
        <f>'Payload Input'!$E$36</f>
        <v>55.519045966465015</v>
      </c>
      <c r="F10" s="68">
        <f>'Payload Input'!$E$36</f>
        <v>55.519045966465015</v>
      </c>
      <c r="G10" s="147">
        <f>IF(('Misc Data'!$B$11=3),Anal_Input_5, 0)</f>
        <v>0</v>
      </c>
      <c r="H10" s="155">
        <f>I10/H13</f>
        <v>0</v>
      </c>
      <c r="I10" s="156">
        <f>IF(('Misc Data'!$B$11=4),Anal_Input_5, 0)</f>
        <v>0</v>
      </c>
      <c r="J10" s="39"/>
      <c r="K10" s="51" t="s">
        <v>1599</v>
      </c>
      <c r="L10" s="392">
        <f>D11</f>
        <v>55.4887589824203</v>
      </c>
      <c r="M10" s="39"/>
      <c r="N10" s="453" t="s">
        <v>882</v>
      </c>
      <c r="O10" s="54">
        <f>IF(O9&lt;=90,IF(90&lt;=O8,90,O8),O9)</f>
        <v>24.717958605106492</v>
      </c>
      <c r="Q10" s="31" t="s">
        <v>1914</v>
      </c>
      <c r="R10" s="31">
        <f>IF(Axis_Type&lt;&gt;2,D10,IF(Wrist_Down_Fix=1,L10,D11))</f>
        <v>55.519045966465015</v>
      </c>
    </row>
    <row r="11" spans="1:18" ht="14.1" customHeight="1">
      <c r="B11" s="14" t="s">
        <v>1915</v>
      </c>
      <c r="C11" s="72">
        <f>VLOOKUP($C$3,Table1,10)</f>
        <v>141.1</v>
      </c>
      <c r="D11" s="68">
        <f>HLOOKUP($C$4,$E$4:$H$12,8)</f>
        <v>55.4887589824203</v>
      </c>
      <c r="E11" s="68">
        <f>'Payload Input'!$E$37</f>
        <v>55.4887589824203</v>
      </c>
      <c r="F11" s="68">
        <f>'Payload Input'!$E$37</f>
        <v>55.4887589824203</v>
      </c>
      <c r="G11" s="147">
        <f>IF(('Misc Data'!$B$11=3),Anal_Input_6, 0)</f>
        <v>0</v>
      </c>
      <c r="H11" s="155">
        <f>I11/H13</f>
        <v>0</v>
      </c>
      <c r="I11" s="156">
        <f>IF(('Misc Data'!$B$11=4),Anal_Input_6, 0)</f>
        <v>0</v>
      </c>
      <c r="J11" s="39"/>
      <c r="K11" s="51" t="s">
        <v>1060</v>
      </c>
      <c r="L11" s="392">
        <f>D12</f>
        <v>12.756485135427388</v>
      </c>
      <c r="M11" s="39"/>
      <c r="N11" s="151"/>
      <c r="Q11" s="31" t="s">
        <v>1915</v>
      </c>
      <c r="R11" s="31">
        <f>IF(Axis_Type&lt;&gt;2,D11,IF(Wrist_Down_Fix=1,L11,D12))</f>
        <v>55.4887589824203</v>
      </c>
    </row>
    <row r="12" spans="1:18" s="19" customFormat="1" ht="14.1" customHeight="1" thickBot="1">
      <c r="A12" s="5"/>
      <c r="B12" s="16" t="s">
        <v>554</v>
      </c>
      <c r="C12" s="73">
        <f>VLOOKUP($C$3,Table1,11)</f>
        <v>78.400000000000006</v>
      </c>
      <c r="D12" s="88">
        <f>HLOOKUP($C$4,$E$4:$H$12,9)</f>
        <v>12.756485135427388</v>
      </c>
      <c r="E12" s="69">
        <f>'Payload Input'!$E$38</f>
        <v>12.756485135427388</v>
      </c>
      <c r="F12" s="69">
        <f>'Payload Input'!$E$38</f>
        <v>12.756485135427388</v>
      </c>
      <c r="G12" s="148">
        <f>IF(('Misc Data'!$B$11=3),Anal_Input_7, 0)</f>
        <v>0</v>
      </c>
      <c r="H12" s="157">
        <f>I12/H13</f>
        <v>0</v>
      </c>
      <c r="I12" s="158">
        <f>IF(('Misc Data'!$B$11=4),Anal_Input_7, 0)</f>
        <v>0</v>
      </c>
      <c r="J12" s="32"/>
      <c r="K12" s="53"/>
      <c r="L12" s="393"/>
      <c r="M12" s="5"/>
      <c r="N12" s="151"/>
      <c r="O12" s="5"/>
      <c r="P12" s="5"/>
      <c r="Q12" s="31" t="s">
        <v>554</v>
      </c>
      <c r="R12" s="31">
        <f>IF(Axis_Count=1,0,D12)</f>
        <v>12.756485135427388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58.800000000000004</v>
      </c>
      <c r="F20" s="39"/>
      <c r="I20" s="151"/>
      <c r="J20" s="39"/>
      <c r="K20" s="35"/>
      <c r="L20" s="400"/>
      <c r="M20" s="39"/>
      <c r="O20" s="400"/>
      <c r="Q20" s="31" t="s">
        <v>310</v>
      </c>
      <c r="R20" s="387">
        <f>D20</f>
        <v>58.800000000000004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43</v>
      </c>
      <c r="E22" s="341">
        <f>TRUNC(D8/$C$7*100,0)</f>
        <v>43</v>
      </c>
      <c r="F22" s="341">
        <f>TRUNC(L7/$C$7*100,0)</f>
        <v>18</v>
      </c>
      <c r="G22" s="39"/>
      <c r="H22" s="39"/>
      <c r="I22" s="458" t="s">
        <v>493</v>
      </c>
      <c r="J22" s="39"/>
      <c r="K22" s="39"/>
      <c r="L22" s="455"/>
      <c r="M22" s="39"/>
      <c r="N22" s="337"/>
      <c r="O22" s="400"/>
      <c r="P22" s="39"/>
      <c r="Q22" s="55" t="s">
        <v>490</v>
      </c>
      <c r="R22" s="397">
        <f>IF(OR(Anal_Robot_Code=10111,Anal_Robot_Code=10214,Anal_Robot_Code=10215),I22,IF(Axis_Type&lt;&gt;2,D22,IF(Wrist_Down_Fix=1,F22,E22)))</f>
        <v>43</v>
      </c>
    </row>
    <row r="23" spans="1:18" s="4" customFormat="1" ht="14.1" customHeight="1">
      <c r="A23" s="5"/>
      <c r="B23" s="14" t="s">
        <v>491</v>
      </c>
      <c r="C23" s="65"/>
      <c r="D23" s="340">
        <f>IF(Wrist_Down_Fix=1,IF(C8&lt;D8,101,0),TRUNC(D8/$C$8*100,0))</f>
        <v>43</v>
      </c>
      <c r="E23" s="341">
        <f>TRUNC(D9/$C$8*100,0)</f>
        <v>18</v>
      </c>
      <c r="F23" s="341">
        <v>0</v>
      </c>
      <c r="G23" s="458" t="str">
        <f>IF(D23=0,"-","∞")</f>
        <v>∞</v>
      </c>
      <c r="H23" s="39"/>
      <c r="I23" s="39"/>
      <c r="J23" s="39"/>
      <c r="K23" s="39"/>
      <c r="L23" s="455"/>
      <c r="M23" s="39"/>
      <c r="N23" s="39"/>
      <c r="O23" s="400"/>
      <c r="P23" s="39"/>
      <c r="Q23" s="56" t="s">
        <v>491</v>
      </c>
      <c r="R23" s="459">
        <f>IF(Axis_Type&lt;&gt;2,IF(Wrist_Down_Fix=1,G23,D23),IF(Wrist_Down_Fix=1,F23,E23))</f>
        <v>43</v>
      </c>
    </row>
    <row r="24" spans="1:18" ht="14.1" customHeight="1" thickBot="1">
      <c r="B24" s="16" t="s">
        <v>492</v>
      </c>
      <c r="C24" s="66"/>
      <c r="D24" s="323">
        <f>TRUNC(D9/$C$9*100,0)</f>
        <v>34</v>
      </c>
      <c r="F24" s="39"/>
      <c r="G24" s="39"/>
      <c r="H24" s="39"/>
      <c r="I24" s="39"/>
      <c r="J24" s="39"/>
      <c r="K24" s="39"/>
      <c r="L24" s="455"/>
      <c r="M24" s="39"/>
      <c r="N24" s="414"/>
      <c r="O24" s="400"/>
      <c r="P24" s="39"/>
      <c r="Q24" s="48" t="s">
        <v>492</v>
      </c>
      <c r="R24" s="397">
        <f>IF(Axis_Count=1,0,D24)</f>
        <v>34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39.4</v>
      </c>
      <c r="E26" s="341">
        <f>ROUNDUP(D11/$C10*100,1)</f>
        <v>39.4</v>
      </c>
      <c r="F26" s="341">
        <f>ROUNDUP(L10/$C$10*100,1)</f>
        <v>39.4</v>
      </c>
      <c r="G26" s="39"/>
      <c r="H26" s="39"/>
      <c r="I26" s="39"/>
      <c r="J26" s="39"/>
      <c r="K26" s="39"/>
      <c r="L26" s="455"/>
      <c r="M26" s="39"/>
      <c r="N26" s="39"/>
      <c r="O26" s="400"/>
      <c r="P26" s="39"/>
      <c r="Q26" s="55" t="s">
        <v>490</v>
      </c>
      <c r="R26" s="397">
        <f>IF(Axis_Type&lt;&gt;2,D26,IF(Wrist_Down_Fix=1,F26,E26))</f>
        <v>39.4</v>
      </c>
    </row>
    <row r="27" spans="1:18" ht="14.1" customHeight="1">
      <c r="B27" s="14" t="s">
        <v>491</v>
      </c>
      <c r="C27" s="65">
        <f>ROUND(C11/$G74*100,)</f>
        <v>66</v>
      </c>
      <c r="D27" s="340">
        <f>ROUNDUP(D11/$C11*100,1)</f>
        <v>39.4</v>
      </c>
      <c r="E27" s="341">
        <f>ROUNDUP(D12/$C11*100,1)</f>
        <v>9.1</v>
      </c>
      <c r="F27" s="341">
        <f>ROUNDUP(L11/$C11*100,1)</f>
        <v>9.1</v>
      </c>
      <c r="G27" s="39"/>
      <c r="H27" s="39"/>
      <c r="I27" s="39"/>
      <c r="J27" s="39"/>
      <c r="K27" s="39"/>
      <c r="L27" s="455"/>
      <c r="M27" s="39"/>
      <c r="N27" s="39"/>
      <c r="O27" s="400"/>
      <c r="P27" s="39"/>
      <c r="Q27" s="56" t="s">
        <v>491</v>
      </c>
      <c r="R27" s="397">
        <f>IF(Axis_Type&lt;&gt;2,D27,IF(Wrist_Down_Fix=1,F27,E27))</f>
        <v>39.4</v>
      </c>
    </row>
    <row r="28" spans="1:18" s="19" customFormat="1" ht="14.1" customHeight="1" thickBot="1">
      <c r="A28" s="5"/>
      <c r="B28" s="16" t="s">
        <v>492</v>
      </c>
      <c r="C28" s="66">
        <f>ROUND(C12/$G75*100,)</f>
        <v>76</v>
      </c>
      <c r="D28" s="323">
        <f>ROUNDUP(D12/$C12*100,1)</f>
        <v>16.3</v>
      </c>
      <c r="E28" s="5"/>
      <c r="F28" s="39"/>
      <c r="G28" s="5"/>
      <c r="H28" s="5"/>
      <c r="I28" s="5"/>
      <c r="J28" s="39"/>
      <c r="K28" s="39"/>
      <c r="L28" s="455"/>
      <c r="M28" s="39"/>
      <c r="N28" s="5"/>
      <c r="O28" s="5"/>
      <c r="P28" s="5"/>
      <c r="Q28" s="48" t="s">
        <v>492</v>
      </c>
      <c r="R28" s="398">
        <f>IF(Axis_Count=1,0,D28)</f>
        <v>16.3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804.97094966067255</v>
      </c>
      <c r="E65" s="362">
        <f>D8+(D11*$D$73)</f>
        <v>804.84677302608929</v>
      </c>
      <c r="F65" s="135"/>
      <c r="G65" s="135"/>
      <c r="J65" s="39"/>
      <c r="K65" s="400"/>
      <c r="L65" s="135"/>
      <c r="M65" s="135"/>
      <c r="N65" s="39"/>
    </row>
    <row r="66" spans="1:18" s="4" customFormat="1" ht="14.1" customHeight="1">
      <c r="A66" s="5"/>
      <c r="B66" s="37" t="s">
        <v>491</v>
      </c>
      <c r="C66" s="38">
        <f xml:space="preserve"> C8+(C11*$D$74)</f>
        <v>1726.6689999999999</v>
      </c>
      <c r="D66" s="38">
        <f xml:space="preserve"> D8+(D11*$D$74)</f>
        <v>732.15649875911868</v>
      </c>
      <c r="E66" s="362">
        <f xml:space="preserve"> D9+(D12*$D$74)</f>
        <v>277.00755775019917</v>
      </c>
      <c r="F66" s="135"/>
      <c r="G66" s="135"/>
      <c r="H66" s="5"/>
      <c r="I66" s="5"/>
      <c r="J66" s="39"/>
      <c r="K66" s="400"/>
      <c r="L66" s="135"/>
      <c r="M66" s="135"/>
      <c r="N66" s="39"/>
      <c r="O66" s="5"/>
      <c r="P66" s="5"/>
      <c r="Q66" s="5"/>
      <c r="R66" s="5"/>
    </row>
    <row r="67" spans="1:18" ht="14.1" customHeight="1">
      <c r="B67" s="37" t="s">
        <v>492</v>
      </c>
      <c r="C67" s="38">
        <f>C9+(C12*$D$75)</f>
        <v>935.71199999999999</v>
      </c>
      <c r="D67" s="38">
        <f>D9+(D12*$D$75)</f>
        <v>278.79346566915899</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127</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-4.3899999999999997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-18.893999999999998</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18.638000000000002</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288.358</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256.14999999999998</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81.409000000000006</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58.800000000000004</v>
      </c>
      <c r="D9" s="3">
        <v>0</v>
      </c>
      <c r="E9" s="3">
        <f>IF(H9&gt;$F$8, $F$8-$E$8, IF(H9&gt;$E$8, H9-$E$8, 0))</f>
        <v>0</v>
      </c>
      <c r="F9" s="3">
        <f>IF(H9&gt;$F$8, H9-$F$8, 0)</f>
        <v>0</v>
      </c>
      <c r="H9" s="3">
        <f>'Wrist Load Analysis'!R20</f>
        <v>58.800000000000004</v>
      </c>
    </row>
    <row r="11" spans="1:8">
      <c r="A11" s="3" t="s">
        <v>348</v>
      </c>
      <c r="B11" s="3" t="s">
        <v>2344</v>
      </c>
      <c r="C11" s="3">
        <f>IF(H11&gt;$E$8, $E$8, H11)</f>
        <v>43</v>
      </c>
      <c r="D11" s="3">
        <v>0</v>
      </c>
      <c r="E11" s="3">
        <f>IF(H11&gt;$F$8, $F$8-$E$8, IF(H11&gt;$E$8, H11-$E$8, 0))</f>
        <v>0</v>
      </c>
      <c r="F11" s="3">
        <f>IF(H11&gt;$F$8, H11-$F$8, 0)</f>
        <v>0</v>
      </c>
      <c r="H11" s="3">
        <f>IF(Anal_Robot_Code=10111,0,'Wrist Load Analysis'!R22)</f>
        <v>43</v>
      </c>
    </row>
    <row r="12" spans="1:8">
      <c r="B12" s="3" t="s">
        <v>1618</v>
      </c>
      <c r="C12" s="3">
        <f>IF(H12&gt;$E$8, $E$8, H12)</f>
        <v>43</v>
      </c>
      <c r="D12" s="3">
        <v>0</v>
      </c>
      <c r="E12" s="3">
        <f>IF(H12&gt;$F$8, $F$8-$E$8, IF(H12&gt;$E$8, H12-$E$8, 0))</f>
        <v>0</v>
      </c>
      <c r="F12" s="3">
        <f>IF(H12&gt;$F$8, H12-$F$8, 0)</f>
        <v>0</v>
      </c>
      <c r="H12" s="3">
        <f>'Wrist Load Analysis'!R23</f>
        <v>43</v>
      </c>
    </row>
    <row r="13" spans="1:8">
      <c r="B13" s="3" t="str">
        <f>IF(Axis_Count=1,"","J6")</f>
        <v>J6</v>
      </c>
      <c r="C13" s="3">
        <f>IF(H13&gt;$E$8, $E$8, H13)</f>
        <v>34</v>
      </c>
      <c r="D13" s="3">
        <v>0</v>
      </c>
      <c r="E13" s="3">
        <f>IF(H13&gt;$F$8, $F$8-$E$8, IF(H13&gt;$E$8, H13-$E$8, 0))</f>
        <v>0</v>
      </c>
      <c r="F13" s="3">
        <f>IF(H13&gt;$F$8, H13-$F$8, 0)</f>
        <v>0</v>
      </c>
      <c r="H13" s="3">
        <f>'Wrist Load Analysis'!R24</f>
        <v>34</v>
      </c>
    </row>
    <row r="15" spans="1:8">
      <c r="A15" s="3" t="s">
        <v>488</v>
      </c>
      <c r="B15" s="3" t="s">
        <v>2344</v>
      </c>
      <c r="C15" s="3">
        <f>IF(H15&gt;E8, E8, H15)</f>
        <v>39.4</v>
      </c>
      <c r="D15" s="3">
        <v>0</v>
      </c>
      <c r="E15" s="3">
        <f>IF(H15&gt;$F$8, $F$8-$E$8, IF(H15&gt;$E$8, H15-$E$8, 0))</f>
        <v>0</v>
      </c>
      <c r="F15" s="3">
        <f>IF(H15&gt;$F$8, H15-$F$8, 0)</f>
        <v>0</v>
      </c>
      <c r="H15" s="3">
        <f>'Wrist Load Analysis'!R26</f>
        <v>39.4</v>
      </c>
    </row>
    <row r="16" spans="1:8">
      <c r="B16" s="3" t="s">
        <v>1618</v>
      </c>
      <c r="C16" s="3">
        <f>IF(H16&gt;E8, E8, H16)</f>
        <v>39.4</v>
      </c>
      <c r="D16" s="3">
        <v>0</v>
      </c>
      <c r="E16" s="3">
        <f>IF(H16&gt;$F$8, $F$8-$E$8, IF(H16&gt;$E$8, H16-$E$8, 0))</f>
        <v>0</v>
      </c>
      <c r="F16" s="3">
        <f>IF(H16&gt;$F$8, H16-$F$8, 0)</f>
        <v>0</v>
      </c>
      <c r="H16" s="3">
        <f>'Wrist Load Analysis'!R27</f>
        <v>39.4</v>
      </c>
    </row>
    <row r="17" spans="1:16">
      <c r="B17" s="3" t="str">
        <f>IF(Axis_Count=1,"","J6")</f>
        <v>J6</v>
      </c>
      <c r="C17" s="3">
        <f>IF(H17&gt;E8, E8, H17)</f>
        <v>16.3</v>
      </c>
      <c r="D17" s="3">
        <v>0</v>
      </c>
      <c r="E17" s="3">
        <f>IF(H17&gt;$F$8, $F$8-$E$8, IF(H17&gt;$E$8, H17-$E$8, 0))</f>
        <v>0</v>
      </c>
      <c r="F17" s="3">
        <f>IF(H17&gt;$F$8, H17-$F$8, 0)</f>
        <v>0</v>
      </c>
      <c r="H17" s="3">
        <f>'Wrist Load Analysis'!R28</f>
        <v>16.3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577.34286119816602</v>
      </c>
      <c r="G25" s="209">
        <f>'Wrist Load Analysis'!R10</f>
        <v>55.519045966465015</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577.34286119816602</v>
      </c>
      <c r="G29" s="209">
        <f>'Wrist Load Analysis'!R11</f>
        <v>55.4887589824203</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241.41696422235677</v>
      </c>
      <c r="G33" s="209">
        <f>'Wrist Load Analysis'!R12</f>
        <v>12.756485135427388</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2016-12-06T23:59:54Z</cp:lastPrinted>
  <dcterms:created xsi:type="dcterms:W3CDTF">1999-12-01T08:04:04Z</dcterms:created>
  <dcterms:modified xsi:type="dcterms:W3CDTF">2016-12-07T00:00:14Z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