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9" i="60"/>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R48" i="37" s="1"/>
  <c r="O49" i="37" s="1"/>
  <c r="B78" i="37"/>
  <c r="B80" i="37"/>
  <c r="F79" i="37"/>
  <c r="D79" i="37"/>
  <c r="C79" i="37"/>
  <c r="E79" i="37"/>
  <c r="H79" i="37" l="1"/>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Q51" i="37" s="1"/>
  <c r="J80" i="37"/>
  <c r="K80" i="37"/>
  <c r="L80" i="37" s="1"/>
  <c r="P51" i="37"/>
  <c r="F76" i="37"/>
  <c r="B75" i="37"/>
  <c r="E76" i="37"/>
  <c r="D76" i="37"/>
  <c r="C76" i="37"/>
  <c r="I81" i="37"/>
  <c r="H81" i="37"/>
  <c r="G81" i="37"/>
  <c r="J78" i="37"/>
  <c r="K78" i="37"/>
  <c r="L78" i="37" s="1"/>
  <c r="I77" i="37"/>
  <c r="G77" i="37"/>
  <c r="H77" i="37"/>
  <c r="B83" i="37"/>
  <c r="F82" i="37"/>
  <c r="E82" i="37"/>
  <c r="C82" i="37"/>
  <c r="D82" i="37"/>
  <c r="R51" i="37" l="1"/>
  <c r="O52" i="37" s="1"/>
  <c r="F83" i="37"/>
  <c r="E83" i="37"/>
  <c r="B84" i="37"/>
  <c r="D83" i="37"/>
  <c r="C83" i="37"/>
  <c r="Q52" i="37"/>
  <c r="P52" i="37"/>
  <c r="G76" i="37"/>
  <c r="I76" i="37"/>
  <c r="H76" i="37"/>
  <c r="J77" i="37"/>
  <c r="K77" i="37"/>
  <c r="L77" i="37" s="1"/>
  <c r="H82" i="37"/>
  <c r="I82" i="37"/>
  <c r="G82" i="37"/>
  <c r="B74" i="37"/>
  <c r="E75" i="37"/>
  <c r="F75" i="37"/>
  <c r="D75" i="37"/>
  <c r="C75" i="37"/>
  <c r="J81" i="37"/>
  <c r="K81" i="37"/>
  <c r="L81" i="37" s="1"/>
  <c r="R52" i="37" l="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<sst xmlns="http://schemas.openxmlformats.org/spreadsheetml/2006/main" count="6673" uniqueCount="4044">
  <si>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</si>
  <si>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</si>
  <si>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</si>
  <si>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</si>
  <si>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</si>
  <si>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</si>
  <si>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</si>
  <si>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</si>
  <si>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</si>
  <si>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</si>
  <si>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</si>
  <si>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</si>
  <si>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</si>
  <si>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</si>
  <si>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</si>
  <si>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</si>
  <si>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</si>
  <si>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</si>
  <si>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</si>
  <si>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</si>
  <si>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</si>
  <si>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</si>
  <si>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</si>
  <si>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</si>
  <si>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</si>
  <si>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</si>
  <si>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</si>
  <si>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</si>
  <si>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</si>
  <si>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</si>
  <si>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</si>
  <si>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</si>
  <si>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</si>
  <si>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</si>
  <si>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</si>
  <si>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</si>
  <si>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</si>
  <si>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</si>
  <si>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</si>
  <si>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</si>
  <si>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</si>
  <si>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</si>
  <si>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</si>
  <si>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</si>
  <si>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</si>
  <si>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</si>
  <si>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</si>
  <si>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</si>
  <si>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</si>
  <si>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</si>
  <si>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</si>
  <si>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</si>
  <si>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</si>
  <si>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</si>
  <si>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</si>
  <si>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</si>
  <si>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</si>
  <si>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</si>
  <si>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</si>
  <si>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</si>
  <si>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</si>
  <si>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</si>
  <si>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</si>
  <si>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</si>
  <si>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</si>
  <si>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</si>
  <si>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</si>
  <si>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</si>
  <si>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</si>
  <si>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</si>
  <si>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</si>
  <si>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</si>
  <si>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</si>
  <si>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</si>
  <si>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</si>
  <si>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</si>
  <si>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</si>
  <si>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</si>
  <si>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</si>
  <si>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</si>
  <si>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</si>
  <si>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</si>
  <si>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</si>
  <si>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</si>
  <si>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</si>
  <si>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</si>
  <si>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</si>
  <si>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</si>
  <si>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</si>
  <si>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</si>
  <si>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</si>
  <si>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</si>
  <si>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</si>
  <si>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</si>
  <si>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</si>
  <si>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</si>
  <si>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</si>
  <si>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</si>
  <si>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</si>
  <si>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</si>
  <si>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</si>
  <si>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</si>
  <si>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</si>
  <si>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</si>
  <si>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</si>
  <si>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</si>
  <si>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</si>
  <si>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</si>
  <si>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</si>
  <si>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</si>
  <si>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</si>
  <si>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</si>
  <si>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</si>
  <si>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</si>
  <si>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</si>
  <si>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</si>
  <si>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</si>
  <si>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</si>
  <si>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</si>
  <si>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</si>
  <si>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</si>
  <si>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</si>
  <si>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</si>
  <si>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</si>
  <si>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</si>
  <si>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</si>
  <si>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</si>
  <si>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</si>
  <si>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</si>
  <si>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</si>
  <si>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</si>
  <si>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</si>
  <si>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</si>
  <si>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</si>
  <si>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</si>
  <si>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</si>
  <si>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</si>
  <si>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</si>
  <si>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</si>
  <si>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</si>
  <si>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</si>
  <si>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</si>
  <si>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</si>
  <si>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</si>
  <si>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</si>
  <si>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</si>
  <si>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</si>
  <si>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</si>
  <si>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</si>
  <si>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</si>
  <si>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</si>
  <si>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</si>
  <si>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</si>
  <si>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</si>
  <si>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</si>
  <si>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</si>
  <si>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</si>
  <si>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</si>
  <si>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</si>
  <si>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</si>
  <si>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</si>
  <si>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</si>
  <si>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</si>
  <si>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</si>
  <si>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</si>
  <si>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</si>
  <si>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</si>
  <si>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</si>
  <si>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</si>
  <si>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</si>
  <si>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</si>
  <si>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</si>
  <si>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</si>
  <si>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</si>
  <si>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</si>
  <si>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</si>
  <si>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</si>
  <si>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</si>
  <si>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</si>
  <si>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</si>
  <si>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</si>
  <si>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</si>
  <si>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</si>
  <si>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</si>
  <si>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</si>
  <si>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</si>
  <si>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</si>
  <si>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</si>
  <si>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</si>
  <si>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</si>
  <si>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</si>
  <si>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</si>
  <si>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</si>
  <si>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</si>
  <si>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</si>
  <si>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</si>
  <si>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</si>
  <si>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</si>
  <si>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</si>
  <si>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</si>
  <si>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</si>
  <si>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</si>
  <si>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</si>
  <si>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</si>
  <si>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</si>
  <si>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</si>
  <si>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</si>
  <si>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</si>
  <si>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</si>
  <si>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</si>
  <si>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</si>
  <si>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</si>
  <si>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</si>
  <si>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</si>
  <si>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</si>
  <si>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</si>
  <si>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</si>
  <si>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</si>
  <si>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</si>
  <si>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</si>
  <si>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</si>
  <si>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</si>
  <si>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</si>
  <si>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</si>
  <si>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</si>
  <si>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</si>
  <si>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</si>
  <si>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</si>
  <si>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</si>
  <si>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</si>
  <si>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</si>
  <si>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</si>
  <si>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</si>
  <si>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</si>
  <si>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</si>
  <si>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</si>
  <si>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</si>
  <si>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</si>
  <si>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</si>
  <si>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</si>
  <si>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</si>
  <si>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</si>
  <si>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</si>
  <si>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</si>
  <si>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</si>
  <si>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</si>
  <si>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</si>
  <si>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</si>
  <si>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</si>
  <si>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</si>
  <si>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</si>
  <si>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</si>
  <si>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</si>
  <si>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</si>
  <si>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</si>
  <si>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</si>
  <si>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</si>
  <si>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</si>
  <si>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</si>
  <si>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</si>
  <si>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</si>
  <si>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</si>
  <si>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</si>
  <si>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</si>
  <si>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</si>
  <si>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</si>
  <si>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</si>
  <si>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</si>
  <si>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</si>
  <si>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</si>
  <si>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</si>
  <si>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</si>
  <si>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</si>
  <si>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</si>
  <si>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</si>
  <si>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</si>
  <si>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</si>
  <si>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</si>
  <si>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</si>
  <si>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</si>
  <si>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</si>
  <si>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</si>
  <si>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</si>
  <si>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</si>
  <si>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</si>
  <si>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</si>
  <si>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</si>
  <si>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</si>
  <si>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</si>
  <si>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</si>
  <si>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</si>
  <si>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</si>
  <si>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</si>
  <si>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</si>
  <si>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</si>
  <si>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</si>
  <si>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</si>
  <si>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</si>
  <si>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</si>
  <si>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</si>
  <si>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</si>
  <si>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</si>
  <si>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</si>
  <si>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</si>
  <si>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</si>
  <si>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</si>
  <si>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</si>
  <si>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</si>
  <si>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</si>
  <si>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</si>
  <si>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</si>
  <si>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</si>
  <si>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</si>
  <si>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</si>
  <si>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</si>
  <si>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</si>
  <si>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</si>
  <si>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</si>
  <si>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</si>
  <si>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</si>
  <si>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</si>
  <si>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</si>
  <si>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</si>
  <si>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</si>
  <si>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</si>
  <si>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</si>
  <si>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</si>
  <si>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</si>
  <si>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</si>
  <si>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</si>
  <si>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</si>
  <si>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</si>
  <si>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</si>
  <si>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</si>
  <si>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</si>
  <si>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</si>
  <si>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</si>
  <si>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</si>
  <si>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</si>
  <si>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</si>
  <si>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</si>
  <si>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</si>
  <si>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</si>
  <si>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</si>
  <si>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</si>
  <si>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</si>
  <si>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</si>
  <si>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</si>
  <si>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</si>
  <si>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</si>
  <si>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</si>
  <si>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</si>
  <si>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</si>
  <si>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</si>
  <si>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</si>
  <si>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</si>
  <si>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</si>
  <si>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</si>
  <si>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</si>
  <si>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</si>
  <si>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</si>
  <si>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</si>
  <si>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</si>
  <si>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</si>
  <si>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</si>
  <si>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</si>
  <si>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</si>
  <si>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</si>
  <si>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</si>
  <si>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</si>
  <si>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</si>
  <si>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</si>
  <si>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</si>
  <si>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</si>
  <si>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</si>
  <si>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</si>
  <si>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</si>
  <si>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</si>
  <si>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</si>
  <si>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</si>
  <si>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</si>
  <si>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</si>
  <si>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</si>
  <si>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</si>
  <si>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</si>
  <si>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</si>
  <si>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</si>
  <si>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</si>
  <si>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</si>
  <si>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</si>
  <si>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</si>
  <si>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</si>
  <si>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</si>
  <si>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</si>
  <si>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</si>
  <si>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</si>
  <si>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</si>
  <si>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</si>
  <si>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</si>
  <si>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</si>
  <si>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</si>
  <si>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</si>
  <si>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</si>
  <si>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</si>
  <si>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</si>
  <si>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</si>
  <si>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</si>
  <si>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</si>
  <si>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</si>
  <si>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</si>
  <si>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</si>
  <si>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</si>
  <si>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</si>
  <si>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</si>
  <si>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</si>
  <si>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</si>
  <si>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</si>
  <si>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</si>
  <si>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</si>
  <si>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</si>
  <si>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</si>
  <si>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</si>
  <si>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</si>
  <si>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</si>
  <si>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</si>
  <si>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</si>
  <si>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</si>
  <si>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</si>
  <si>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</si>
  <si>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</si>
  <si>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</si>
  <si>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</si>
  <si>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</si>
  <si>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</si>
  <si>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</si>
  <si>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</si>
  <si>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</si>
  <si>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</si>
  <si>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</si>
  <si>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</si>
  <si>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</si>
  <si>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</si>
  <si>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</si>
  <si>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</si>
  <si>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</si>
  <si>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</si>
  <si>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</si>
  <si>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</si>
  <si>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</si>
  <si>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</si>
  <si>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</si>
  <si>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</si>
  <si>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</si>
  <si>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</si>
  <si>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</si>
  <si>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</si>
  <si>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</si>
  <si>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</si>
  <si>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</si>
  <si>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</si>
  <si>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</si>
  <si>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</si>
  <si>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</si>
  <si>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</si>
  <si>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</si>
  <si>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</si>
  <si>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</si>
  <si>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</si>
  <si>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</si>
  <si>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</si>
  <si>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</si>
  <si>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</si>
  <si>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</si>
  <si>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</si>
  <si>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</si>
  <si>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</si>
  <si>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</si>
  <si>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</si>
  <si>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</si>
  <si>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</si>
  <si>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</si>
  <si>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</si>
  <si>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</si>
  <si>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</si>
  <si>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</si>
  <si>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</si>
  <si>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</si>
  <si>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</si>
  <si>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</si>
  <si>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</si>
  <si>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</si>
  <si>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</si>
  <si>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</si>
  <si>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</si>
  <si>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</si>
  <si>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</si>
  <si>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</si>
  <si>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</si>
  <si>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</si>
  <si>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</si>
  <si>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</si>
  <si>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</si>
  <si>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</si>
  <si>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</si>
  <si>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</si>
  <si>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</si>
  <si>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</si>
  <si>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</si>
  <si>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</si>
  <si>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</si>
  <si>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</si>
  <si>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</si>
  <si>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</si>
  <si>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</si>
  <si>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</si>
  <si>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</si>
  <si>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</si>
  <si>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</si>
  <si>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</si>
  <si>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</si>
  <si>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</si>
  <si>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</si>
  <si>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</si>
  <si>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</si>
  <si>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</si>
  <si>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</si>
  <si>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</si>
  <si>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</si>
  <si>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</si>
  <si>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</si>
  <si>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</si>
  <si>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</si>
  <si>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</si>
  <si>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</si>
  <si>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</si>
  <si>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</si>
  <si>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</si>
  <si>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</si>
  <si>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</si>
  <si>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</si>
  <si>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</si>
  <si>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</si>
  <si>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</si>
  <si>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</si>
  <si>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</si>
  <si>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</si>
  <si>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</si>
  <si>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</si>
  <si>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</si>
  <si>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</si>
  <si>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</si>
  <si>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</si>
  <si>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</si>
  <si>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</si>
  <si>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</si>
  <si>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</si>
  <si>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</si>
  <si>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</si>
  <si>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</si>
  <si>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</si>
  <si>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</si>
  <si>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</si>
  <si>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</si>
  <si>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</si>
  <si>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</si>
  <si>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</si>
  <si>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</si>
  <si>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</si>
  <si>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</si>
  <si>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</si>
  <si>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</si>
  <si>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</si>
  <si>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</si>
  <si>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</si>
  <si>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</si>
  <si>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</si>
  <si>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</si>
  <si>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</si>
  <si>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</si>
  <si>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</si>
  <si>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</si>
  <si>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</si>
  <si>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</si>
  <si>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</si>
  <si>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</si>
  <si>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</si>
  <si>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</si>
  <si>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</si>
  <si>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</si>
  <si>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</si>
  <si>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</si>
  <si>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</si>
  <si>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</si>
  <si>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</si>
  <si>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</si>
  <si>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</si>
  <si>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</si>
  <si>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</si>
  <si>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</si>
  <si>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</si>
  <si>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</si>
  <si>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</si>
  <si>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</si>
  <si>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</si>
  <si>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</si>
  <si>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</si>
  <si>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</si>
  <si>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</si>
  <si>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</si>
  <si>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</si>
  <si>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</si>
  <si>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</si>
  <si>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</si>
  <si>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</si>
  <si>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</si>
  <si>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</si>
  <si>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</si>
  <si>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</si>
  <si>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</si>
  <si>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</si>
  <si>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</si>
  <si>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</si>
  <si>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</si>
  <si>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</si>
  <si>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</si>
  <si>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</si>
  <si>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</si>
  <si>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</si>
  <si>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</si>
  <si>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</si>
  <si>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</si>
  <si>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</si>
  <si>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</si>
  <si>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</si>
  <si>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</si>
  <si>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</si>
  <si>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</si>
  <si>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</si>
  <si>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</si>
  <si>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</si>
  <si>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</si>
  <si>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</si>
  <si>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</si>
  <si>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</si>
  <si>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</si>
  <si>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</si>
  <si>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</si>
  <si>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</si>
  <si>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</si>
  <si>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</si>
  <si>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</si>
  <si>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</si>
  <si>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</si>
  <si>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</si>
  <si>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</si>
  <si>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</si>
  <si>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</si>
  <si>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</si>
  <si>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</si>
  <si>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</si>
  <si>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</si>
  <si>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</si>
  <si>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</si>
  <si>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</si>
  <si>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</si>
  <si>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</si>
  <si>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</si>
  <si>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</si>
  <si>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</si>
  <si>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</si>
  <si>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</si>
  <si>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</si>
  <si>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</si>
  <si>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</si>
  <si>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</si>
  <si>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</si>
  <si>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</si>
  <si>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</si>
  <si>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</si>
  <si>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</si>
  <si>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</si>
  <si>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</si>
  <si>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</si>
  <si>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</si>
  <si>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</si>
  <si>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</si>
  <si>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</si>
  <si>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</si>
  <si>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</si>
  <si>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</si>
  <si>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</si>
  <si>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</si>
  <si>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</si>
  <si>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</si>
  <si>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</si>
  <si>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</si>
  <si>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</si>
  <si>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</si>
  <si>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</si>
  <si>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</si>
  <si>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</si>
  <si>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</si>
  <si>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</si>
  <si>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</si>
  <si>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</si>
  <si>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</si>
  <si>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</si>
  <si>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</si>
  <si>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</si>
  <si>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</si>
  <si>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</si>
  <si>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</si>
  <si>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</si>
  <si>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</si>
  <si>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</si>
  <si>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</si>
  <si>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</si>
  <si>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</si>
  <si>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</si>
  <si>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</si>
  <si>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</si>
  <si>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</si>
  <si>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</si>
  <si>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</si>
  <si>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</si>
  <si>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</si>
  <si>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</si>
  <si>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</si>
  <si>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</si>
  <si>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</si>
  <si>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</si>
  <si>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</si>
  <si>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</si>
  <si>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</si>
  <si>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</si>
  <si>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</si>
  <si>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</si>
  <si>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</si>
  <si>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</si>
  <si>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</si>
  <si>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</si>
  <si>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</si>
  <si>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</si>
  <si>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</si>
  <si>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</si>
  <si>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</si>
  <si>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</si>
  <si>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</si>
  <si>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</si>
  <si>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</si>
  <si>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</si>
  <si>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</si>
  <si>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</si>
  <si>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</si>
  <si>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</si>
  <si>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</si>
  <si>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</si>
  <si>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</si>
  <si>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</si>
  <si>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</si>
  <si>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</si>
  <si>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</si>
  <si>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</si>
  <si>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</si>
  <si>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</si>
  <si>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</si>
  <si>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</si>
  <si>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</si>
  <si>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</si>
  <si>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</si>
  <si>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</si>
  <si>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</si>
  <si>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</si>
  <si>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</si>
  <si>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</si>
  <si>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</si>
  <si>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</si>
  <si>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</si>
  <si>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</si>
  <si>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</si>
  <si>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</si>
  <si>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</si>
  <si>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</si>
  <si>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</si>
  <si>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</si>
  <si>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</si>
  <si>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</si>
  <si>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</si>
  <si>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</si>
  <si>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</si>
  <si>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</si>
  <si>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</si>
  <si>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</si>
  <si>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</si>
  <si>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</si>
  <si>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</si>
  <si>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</si>
  <si>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</si>
  <si>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</si>
  <si>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</si>
  <si>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</si>
  <si>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</si>
  <si>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</si>
  <si>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</si>
  <si>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</si>
  <si>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</si>
  <si>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</si>
  <si>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</si>
  <si>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</si>
  <si>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</si>
  <si>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</si>
  <si>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</si>
  <si>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</si>
  <si>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</si>
  <si>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</si>
  <si>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</si>
  <si>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</si>
  <si>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</si>
  <si>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</si>
  <si>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</si>
  <si>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</si>
  <si>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</si>
  <si>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</si>
  <si>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</si>
  <si>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</si>
  <si>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</si>
  <si>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</si>
  <si>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</si>
  <si>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</si>
  <si>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</si>
  <si>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</si>
  <si>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</si>
  <si>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</si>
  <si>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</si>
  <si>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</si>
  <si>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</si>
  <si>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</si>
  <si>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</si>
  <si>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</si>
  <si>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</si>
  <si>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</si>
  <si>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</si>
  <si>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</si>
  <si>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</si>
  <si>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</si>
  <si>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</si>
  <si>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</si>
  <si>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</si>
  <si>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</si>
  <si>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</si>
  <si>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</si>
  <si>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</si>
  <si>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</si>
  <si>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</si>
  <si>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</si>
  <si>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</si>
  <si>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</si>
  <si>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</si>
  <si>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</si>
  <si>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</si>
  <si>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</si>
  <si>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</si>
  <si>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</si>
  <si>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</si>
  <si>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</si>
  <si>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</si>
  <si>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</si>
  <si>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</si>
  <si>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</si>
  <si>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</si>
  <si>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</si>
  <si>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</si>
  <si>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</si>
  <si>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</si>
  <si>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</si>
  <si>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</si>
  <si>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</si>
  <si>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</si>
  <si>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</si>
  <si>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</si>
  <si>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</si>
  <si>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</si>
  <si>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</si>
  <si>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</si>
  <si>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</si>
  <si>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</si>
  <si>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</si>
  <si>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</si>
  <si>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</si>
  <si>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</si>
  <si>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</si>
  <si>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</si>
  <si>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</si>
  <si>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</si>
  <si>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</si>
  <si>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</si>
  <si>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</si>
  <si>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</si>
  <si>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</si>
  <si>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</si>
  <si>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</si>
  <si>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</si>
  <si>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</si>
  <si>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</si>
  <si>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</si>
  <si>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</si>
  <si>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</si>
  <si>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</si>
  <si>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</si>
  <si>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</si>
  <si>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</si>
  <si>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</si>
  <si>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</si>
  <si>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</si>
  <si>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</si>
  <si>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</si>
  <si>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</si>
  <si>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</si>
  <si>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</si>
  <si>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</si>
  <si>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</si>
  <si>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</si>
  <si>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</si>
  <si>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</si>
  <si>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</si>
  <si>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</si>
  <si>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</si>
  <si>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</si>
  <si>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</si>
  <si>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</si>
  <si>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</si>
  <si>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</si>
  <si>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</si>
  <si>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</si>
  <si>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</si>
  <si>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</si>
  <si>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</si>
  <si>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</si>
  <si>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</si>
  <si>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</si>
  <si>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</si>
  <si>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</si>
  <si>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</si>
  <si>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</si>
  <si>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</si>
  <si>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</si>
  <si>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</si>
  <si>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</si>
  <si>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</si>
  <si>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</si>
  <si>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</si>
  <si>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</si>
  <si>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</si>
  <si>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</si>
  <si>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</si>
  <si>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</si>
  <si>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</si>
  <si>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</si>
  <si>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</si>
  <si>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</si>
  <si>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</si>
  <si>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</si>
  <si>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</si>
  <si>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</si>
  <si>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</si>
  <si>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</si>
  <si>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</si>
  <si>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</si>
  <si>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</si>
  <si>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</si>
  <si>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</si>
  <si>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</si>
  <si>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</si>
  <si>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</si>
  <si>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</si>
  <si>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</si>
  <si>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</si>
  <si>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</si>
  <si>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</si>
  <si>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</si>
  <si>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</si>
  <si>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</si>
  <si>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</si>
  <si>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</si>
  <si>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</si>
  <si>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</si>
  <si>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</si>
  <si>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</si>
  <si>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</si>
  <si>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</si>
  <si>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</si>
  <si>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</si>
  <si>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</si>
  <si>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</si>
  <si>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</si>
  <si>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</si>
  <si>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</si>
  <si>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</si>
  <si>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</si>
  <si>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</si>
  <si>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</si>
  <si>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</si>
  <si>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</si>
  <si>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</si>
  <si>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</si>
  <si>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</si>
  <si>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</si>
  <si>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</si>
  <si>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</si>
  <si>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</si>
  <si>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</si>
  <si>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</si>
  <si>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</si>
  <si>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</si>
  <si>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</si>
  <si>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</si>
  <si>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</si>
  <si>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</si>
  <si>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</si>
  <si>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</si>
  <si>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</si>
  <si>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</si>
  <si>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</si>
  <si>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</si>
  <si>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</si>
  <si>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</si>
  <si>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</si>
  <si>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</si>
  <si>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</si>
  <si>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</si>
  <si>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</si>
  <si>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</si>
  <si>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</si>
  <si>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</si>
  <si>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</si>
  <si>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</si>
  <si>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</si>
  <si>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</si>
  <si>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</si>
  <si>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</si>
  <si>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</si>
  <si>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</si>
  <si>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</si>
  <si>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</si>
  <si>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</si>
  <si>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</si>
  <si>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</si>
  <si>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</si>
  <si>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</si>
  <si>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</si>
  <si>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</si>
  <si>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</si>
  <si>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</si>
  <si>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</si>
  <si>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</si>
  <si>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</si>
  <si>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</si>
  <si>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</si>
  <si>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</si>
  <si>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</si>
  <si>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</si>
  <si>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</si>
  <si>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</si>
  <si>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</si>
  <si>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</si>
  <si>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</si>
  <si>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</si>
  <si>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</si>
  <si>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</si>
  <si>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</si>
  <si>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</si>
  <si>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</si>
  <si>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</si>
  <si>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</si>
  <si>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</si>
  <si>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</si>
  <si>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</si>
  <si>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</si>
  <si>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</si>
  <si>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</si>
  <si>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</si>
  <si>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</si>
  <si>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</si>
  <si>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</si>
  <si>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</si>
  <si>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</si>
  <si>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</si>
  <si>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</si>
  <si>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</si>
  <si>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</si>
  <si>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</si>
  <si>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</si>
  <si>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</si>
  <si>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</si>
  <si>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</si>
  <si>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</si>
  <si>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</si>
  <si>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</si>
  <si>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</si>
  <si>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</si>
  <si>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</si>
  <si>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</si>
  <si>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</si>
  <si>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</si>
  <si>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</si>
  <si>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</si>
  <si>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</si>
  <si>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</si>
  <si>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</si>
  <si>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</si>
  <si>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</si>
  <si>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</si>
  <si>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</si>
  <si>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</si>
  <si>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</si>
  <si>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</si>
  <si>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</si>
  <si>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</si>
  <si>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</si>
  <si>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</si>
  <si>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</si>
  <si>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</si>
  <si>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</si>
  <si>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</si>
  <si>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</si>
  <si>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</si>
  <si>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</si>
  <si>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</si>
  <si>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</si>
  <si>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</si>
  <si>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</si>
  <si>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</si>
  <si>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</si>
  <si>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</si>
  <si>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</si>
  <si>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</si>
  <si>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</si>
  <si>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</si>
  <si>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</si>
  <si>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</si>
  <si>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</si>
  <si>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</si>
  <si>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</si>
  <si>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</si>
  <si>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</si>
  <si>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</si>
  <si>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</si>
  <si>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</si>
  <si>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</si>
  <si>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</si>
  <si>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</si>
  <si>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</si>
  <si>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</si>
  <si>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</si>
  <si>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</si>
  <si>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</si>
  <si>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</si>
  <si>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</si>
  <si>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</si>
  <si>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</si>
  <si>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</si>
  <si>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</si>
  <si>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</si>
  <si>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</si>
  <si>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</si>
  <si>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</si>
  <si>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</si>
  <si>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</si>
  <si>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</si>
  <si>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</si>
  <si>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</si>
  <si>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</si>
  <si>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</si>
  <si>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</si>
  <si>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</si>
  <si>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</si>
  <si>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</si>
  <si>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</si>
  <si>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</si>
  <si>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</si>
  <si>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</si>
  <si>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</si>
  <si>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</si>
  <si>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</si>
  <si>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</si>
  <si>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</si>
  <si>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</si>
  <si>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</si>
  <si>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</si>
  <si>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</si>
  <si>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</si>
  <si>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</si>
  <si>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</si>
  <si>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</si>
  <si>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</si>
  <si>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</si>
  <si>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</si>
  <si>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</si>
  <si>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</si>
  <si>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</si>
  <si>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</si>
  <si>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</si>
  <si>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</si>
  <si>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</si>
  <si>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</si>
  <si>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</si>
  <si>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</si>
  <si>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</si>
  <si>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</si>
  <si>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</si>
  <si>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</si>
  <si>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</si>
  <si>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</si>
  <si>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</si>
  <si>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</si>
  <si>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</si>
  <si>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</si>
  <si>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</si>
  <si>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</si>
  <si>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</si>
  <si>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</si>
  <si>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</si>
  <si>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</si>
  <si>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</si>
  <si>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</si>
  <si>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</si>
  <si>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</si>
  <si>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</si>
  <si>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</si>
  <si>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</si>
  <si>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</si>
  <si>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</si>
  <si>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</si>
  <si>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</si>
  <si>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</si>
  <si>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</si>
  <si>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</si>
  <si>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</si>
  <si>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</si>
  <si>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</si>
  <si>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</si>
  <si>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</si>
  <si>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</si>
  <si>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</si>
  <si>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</si>
  <si>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</si>
  <si>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</si>
  <si>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</si>
  <si>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</si>
  <si>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</si>
  <si>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</si>
  <si>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</si>
  <si>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</si>
  <si>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</si>
  <si>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</si>
  <si>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</si>
  <si>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</si>
  <si>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</si>
  <si>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</si>
  <si>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</si>
  <si>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</si>
  <si>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</si>
  <si>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</si>
  <si>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</si>
  <si>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</si>
  <si>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</si>
  <si>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</si>
  <si>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</si>
  <si>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</si>
  <si>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</si>
  <si>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</si>
  <si>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</si>
  <si>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</si>
  <si>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</si>
  <si>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</si>
  <si>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</si>
  <si>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</si>
  <si>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</si>
  <si>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</si>
  <si>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</si>
  <si>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</si>
  <si>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</si>
  <si>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</si>
  <si>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</si>
  <si>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</si>
  <si>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</si>
  <si>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</si>
  <si>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</si>
  <si>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</si>
  <si>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</si>
  <si>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</si>
  <si>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</si>
  <si>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</si>
  <si>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</si>
  <si>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</si>
  <si>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</si>
  <si>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</si>
  <si>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</si>
  <si>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</si>
  <si>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</si>
  <si>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</si>
  <si>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</si>
  <si>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</si>
  <si>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</si>
  <si>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</si>
  <si>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</si>
  <si>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</si>
  <si>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</si>
  <si>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</si>
  <si>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</si>
  <si>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</si>
  <si>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</si>
  <si>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</si>
  <si>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</si>
  <si>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</si>
  <si>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</si>
  <si>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</si>
  <si>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</si>
  <si>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</si>
  <si>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</si>
  <si>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</si>
  <si>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</si>
  <si>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</si>
  <si>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</si>
  <si>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</si>
  <si>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</si>
  <si>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</si>
  <si>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</si>
  <si>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</si>
  <si>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</si>
  <si>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</si>
  <si>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</si>
  <si>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</si>
  <si>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</si>
  <si>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</si>
  <si>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</si>
  <si>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</si>
  <si>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</si>
  <si>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</si>
  <si>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</si>
  <si>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</si>
  <si>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</si>
  <si>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</si>
  <si>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</si>
  <si>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</si>
  <si>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</si>
  <si>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</si>
  <si>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</si>
  <si>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</si>
  <si>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</si>
  <si>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</si>
  <si>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</si>
  <si>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</si>
  <si>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</si>
  <si>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</si>
  <si>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</si>
  <si>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</si>
  <si>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</si>
  <si>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</si>
  <si>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</si>
  <si>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</si>
  <si>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</si>
  <si>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</si>
  <si>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</si>
  <si>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</si>
  <si>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</si>
  <si>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</si>
  <si>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</si>
  <si>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</si>
  <si>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</si>
  <si>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</si>
  <si>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</si>
  <si>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</si>
  <si>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</si>
  <si>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</si>
  <si>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</si>
  <si>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</si>
  <si>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</si>
  <si>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</si>
  <si>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</si>
  <si>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</si>
  <si>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</si>
  <si>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</si>
  <si>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</si>
  <si>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</si>
  <si>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</si>
  <si>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</si>
  <si>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</si>
  <si>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</si>
  <si>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</si>
  <si>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</si>
  <si>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</si>
  <si>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</si>
  <si>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</si>
  <si>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</si>
  <si>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</si>
  <si>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</si>
  <si>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</si>
  <si>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</si>
  <si>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</si>
  <si>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</si>
  <si>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</si>
  <si>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</si>
  <si>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</si>
  <si>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</si>
  <si>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</si>
  <si>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</si>
  <si>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</si>
  <si>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</si>
  <si>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</si>
  <si>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</si>
  <si>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</si>
  <si>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</si>
  <si>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</si>
  <si>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</si>
  <si>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</si>
  <si>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</si>
  <si>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</si>
  <si>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</si>
  <si>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</si>
  <si>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</si>
  <si>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</si>
  <si>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</si>
  <si>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</si>
  <si>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</si>
  <si>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</si>
  <si>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</si>
  <si>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</si>
  <si>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</si>
  <si>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</si>
  <si>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</si>
  <si>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</si>
  <si>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</si>
  <si>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</si>
  <si>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</si>
  <si>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</si>
  <si>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</si>
  <si>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</si>
  <si>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</si>
  <si>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</si>
  <si>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</si>
  <si>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</si>
  <si>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</si>
  <si>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</si>
  <si>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</si>
  <si>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</si>
  <si>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</si>
  <si>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</si>
  <si>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</si>
  <si>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</si>
  <si>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</si>
  <si>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</si>
  <si>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</si>
  <si>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</si>
  <si>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</si>
  <si>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</si>
  <si>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</si>
  <si>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</si>
  <si>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</si>
  <si>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</si>
  <si>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</si>
  <si>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</si>
  <si>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</si>
  <si>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</si>
  <si>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</si>
  <si>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</si>
  <si>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</si>
  <si>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</si>
  <si>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</si>
  <si>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</si>
  <si>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</si>
  <si>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</si>
  <si>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</si>
  <si>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</si>
  <si>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</si>
  <si>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</si>
  <si>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</si>
  <si>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</si>
  <si>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</si>
  <si>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</si>
  <si>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</si>
  <si>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</si>
  <si>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</si>
  <si>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</si>
  <si>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</si>
  <si>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</si>
  <si>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</si>
  <si>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</si>
  <si>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</si>
  <si>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</si>
  <si>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</si>
  <si>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</si>
  <si>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</si>
  <si>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</si>
  <si>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</si>
  <si>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</si>
  <si>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</si>
  <si>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</si>
  <si>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</si>
  <si>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</si>
  <si>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</si>
  <si>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</si>
  <si>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</si>
  <si>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</si>
  <si>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</si>
  <si>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</si>
  <si>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</si>
  <si>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</si>
  <si>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</si>
  <si>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</si>
  <si>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</si>
  <si>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</si>
  <si>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</si>
  <si>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</si>
  <si>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</si>
  <si>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</si>
  <si>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</si>
  <si>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</si>
  <si>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</si>
  <si>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</si>
  <si>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</si>
  <si>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</si>
  <si>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</si>
  <si>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</si>
  <si>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</si>
  <si>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</si>
  <si>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</si>
  <si>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</si>
  <si>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</si>
  <si>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</si>
  <si>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</si>
  <si>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</si>
  <si>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</si>
  <si>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</si>
  <si>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</si>
  <si>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</si>
  <si>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</si>
  <si>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</si>
  <si>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</si>
  <si>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</si>
  <si>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</si>
  <si>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</si>
  <si>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</si>
  <si>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</si>
  <si>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</si>
  <si>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</si>
  <si>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</si>
  <si>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</si>
  <si>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</si>
  <si>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</si>
  <si>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</si>
  <si>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</si>
  <si>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</si>
  <si>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</si>
  <si>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</si>
  <si>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</si>
  <si>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</si>
  <si>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</si>
  <si>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</si>
  <si>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</si>
  <si>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</si>
  <si>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</si>
  <si>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</si>
  <si>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</si>
  <si>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</si>
  <si>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</si>
  <si>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</si>
  <si>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</si>
  <si>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</si>
  <si>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</si>
  <si>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</si>
  <si>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</si>
  <si>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</si>
  <si>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</si>
  <si>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</si>
  <si>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</si>
  <si>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</si>
  <si>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</si>
  <si>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</si>
  <si>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</si>
  <si>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</si>
  <si>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</si>
  <si>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</si>
  <si>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</si>
  <si>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</si>
  <si>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</si>
  <si>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</si>
  <si>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</si>
  <si>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</si>
  <si>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</si>
  <si>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</si>
  <si>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</si>
  <si>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</si>
  <si>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</si>
  <si>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</si>
  <si>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</si>
  <si>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</si>
  <si>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</si>
  <si>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</si>
  <si>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</si>
  <si>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</si>
  <si>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</si>
  <si>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</si>
  <si>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</si>
  <si>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</si>
  <si>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</si>
  <si>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</si>
  <si>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</si>
  <si>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</si>
  <si>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</si>
  <si>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</si>
  <si>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</si>
  <si>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</si>
  <si>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</si>
  <si>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</si>
  <si>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</si>
  <si>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</si>
  <si>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</si>
  <si>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</si>
  <si>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</si>
  <si>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</si>
  <si>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</si>
  <si>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</si>
  <si>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</si>
  <si>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</si>
  <si>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</si>
  <si>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</si>
  <si>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</si>
  <si>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</si>
  <si>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</si>
  <si>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</si>
  <si>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</si>
  <si>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</si>
  <si>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</si>
  <si>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</si>
  <si>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</si>
  <si>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</si>
  <si>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</si>
  <si>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</si>
  <si>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</si>
  <si>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</si>
  <si>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</si>
  <si>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</si>
  <si>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</si>
  <si>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</si>
  <si>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</si>
  <si>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</si>
  <si>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</si>
  <si>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</si>
  <si>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</si>
  <si>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</si>
  <si>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</si>
  <si>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</si>
  <si>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</si>
  <si>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</si>
  <si>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</si>
  <si>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</si>
  <si>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</si>
  <si>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</si>
  <si>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</si>
  <si>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</si>
  <si>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</si>
  <si>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</si>
  <si>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</si>
  <si>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</si>
  <si>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</si>
  <si>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</si>
  <si>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</si>
  <si>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</si>
  <si>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</si>
  <si>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</si>
  <si>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</si>
  <si>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</si>
  <si>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</si>
  <si>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</si>
  <si>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</si>
  <si>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</si>
  <si>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</si>
  <si>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</si>
  <si>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</si>
  <si>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</si>
  <si>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</si>
  <si>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</si>
  <si>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</si>
  <si>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</si>
  <si>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</si>
  <si>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</si>
  <si>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</si>
  <si>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</si>
  <si>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</si>
  <si>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</si>
  <si>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</si>
  <si>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</si>
  <si>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</si>
  <si>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</si>
  <si>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</si>
  <si>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</si>
  <si>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</si>
  <si>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</si>
  <si>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</si>
  <si>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</si>
  <si>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</si>
  <si>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</si>
  <si>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</si>
  <si>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</si>
  <si>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</si>
  <si>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</si>
  <si>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</si>
  <si>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</si>
  <si>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</si>
  <si>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</si>
  <si>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</si>
  <si>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</si>
  <si>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</si>
  <si>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</si>
  <si>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</si>
  <si>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</si>
  <si>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</si>
  <si>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</si>
  <si>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</si>
  <si>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</si>
  <si>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</si>
  <si>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</si>
  <si>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</si>
  <si>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</si>
  <si>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</si>
  <si>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</si>
  <si>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</si>
  <si>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</si>
  <si>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</si>
  <si>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</si>
  <si>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</si>
  <si>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</si>
  <si>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</si>
  <si>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</si>
  <si>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</si>
  <si>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</si>
  <si>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</si>
  <si>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</si>
  <si>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</si>
  <si>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</si>
  <si>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</si>
  <si>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</si>
  <si>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</si>
  <si>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</si>
  <si>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</si>
  <si>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</si>
  <si>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</si>
  <si>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</si>
  <si>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</si>
  <si>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</si>
  <si>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</si>
  <si>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</si>
  <si>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</si>
  <si>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</si>
  <si>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</si>
  <si>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</si>
  <si>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</si>
  <si>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</si>
  <si>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</si>
  <si>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</si>
  <si>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</si>
  <si>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</si>
  <si>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</si>
  <si>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</si>
  <si>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</si>
  <si>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</si>
  <si>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</si>
  <si>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</si>
  <si>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</si>
  <si>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</si>
  <si>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</si>
  <si>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</si>
  <si>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</si>
  <si>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</si>
  <si>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</si>
  <si>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</si>
  <si>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</si>
  <si>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</si>
  <si>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</si>
  <si>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</si>
  <si>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</si>
  <si>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</si>
  <si>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</si>
  <si>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</si>
  <si>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</si>
  <si>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</si>
  <si>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</si>
  <si>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</si>
  <si>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</si>
  <si>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</si>
  <si>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</si>
  <si>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</si>
  <si>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</si>
  <si>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</si>
  <si>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</si>
  <si>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</si>
  <si>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</si>
  <si>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</si>
  <si>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</si>
  <si>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</si>
  <si>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</si>
  <si>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</si>
  <si>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</si>
  <si>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</si>
  <si>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</si>
  <si>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</si>
  <si>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</si>
  <si>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</si>
  <si>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</si>
  <si>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</si>
  <si>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</si>
  <si>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</si>
  <si>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</si>
  <si>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</si>
  <si>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</si>
  <si>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</si>
  <si>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</si>
  <si>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</si>
  <si>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</si>
  <si>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</si>
  <si>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</si>
  <si>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</si>
  <si>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</si>
  <si>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</si>
  <si>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</si>
  <si>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</si>
  <si>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</si>
  <si>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</si>
  <si>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</si>
  <si>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</si>
  <si>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</si>
  <si>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</si>
  <si>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</si>
  <si>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</si>
  <si>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</si>
  <si>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</si>
  <si>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</si>
  <si>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</si>
  <si>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</si>
  <si>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</si>
  <si>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</si>
  <si>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</si>
  <si>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</si>
  <si>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</si>
  <si>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</si>
  <si>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</si>
  <si>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</si>
  <si>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</si>
  <si>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</si>
  <si>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</si>
  <si>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</si>
  <si>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</si>
  <si>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</si>
  <si>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</si>
  <si>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</si>
  <si>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</si>
  <si>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</si>
  <si>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</si>
  <si>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</si>
  <si>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</si>
  <si>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</si>
  <si>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</si>
  <si>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</si>
  <si>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</si>
  <si>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</si>
  <si>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</si>
  <si>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</si>
  <si>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</si>
  <si>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</si>
  <si>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</si>
  <si>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</si>
  <si>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</si>
  <si>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</si>
  <si>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</si>
  <si>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</si>
  <si>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</si>
  <si>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</si>
  <si>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</si>
  <si>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</si>
  <si>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</si>
  <si>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</si>
  <si>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</si>
  <si>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</si>
  <si>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</si>
  <si>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</si>
  <si>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</si>
  <si>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</si>
  <si>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</si>
  <si>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</si>
  <si>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</si>
  <si>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</si>
  <si>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</si>
  <si>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</si>
  <si>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</si>
  <si>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</si>
  <si>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</si>
  <si>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</si>
  <si>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</si>
  <si>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</si>
  <si>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</si>
  <si>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</si>
  <si>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</si>
  <si>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</si>
  <si>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</si>
  <si>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</si>
  <si>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</si>
  <si>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</si>
  <si>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</si>
  <si>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</si>
  <si>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</si>
  <si>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</si>
  <si>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</si>
  <si>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</si>
  <si>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</si>
  <si>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</si>
  <si>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</si>
  <si>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</si>
  <si>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</si>
  <si>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</si>
  <si>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</si>
  <si>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</si>
  <si>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</si>
  <si>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</si>
  <si>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</si>
  <si>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</si>
  <si>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</si>
  <si>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</si>
  <si>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</si>
  <si>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</si>
  <si>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</si>
  <si>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</si>
  <si>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</si>
  <si>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</si>
  <si>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</si>
  <si>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</si>
  <si>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</si>
  <si>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</si>
  <si>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</si>
  <si>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</si>
  <si>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</si>
  <si>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</si>
  <si>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</si>
  <si>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</si>
  <si>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</si>
  <si>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</si>
  <si>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</si>
  <si>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</si>
  <si>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</si>
  <si>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</si>
  <si>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</si>
  <si>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</si>
  <si>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</si>
  <si>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</si>
  <si>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</si>
  <si>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</si>
  <si>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</si>
  <si>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</si>
  <si>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</si>
  <si>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</si>
  <si>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</si>
  <si>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</si>
  <si>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</si>
  <si>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</si>
  <si>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</si>
  <si>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</si>
  <si>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</si>
  <si>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</si>
  <si>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</si>
  <si>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</si>
  <si>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</si>
  <si>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</si>
  <si>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</si>
  <si>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</si>
  <si>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</si>
  <si>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</si>
  <si>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</si>
  <si>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</si>
  <si>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</si>
  <si>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</si>
  <si>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</si>
  <si>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</si>
  <si>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</si>
  <si>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</si>
  <si>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</si>
  <si>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</si>
  <si>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</si>
  <si>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</si>
  <si>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</si>
  <si>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</si>
  <si>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</si>
  <si>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</si>
  <si>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</si>
  <si>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</si>
  <si>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</si>
  <si>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</si>
  <si>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</si>
  <si>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</si>
  <si>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</si>
  <si>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</si>
  <si>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</si>
  <si>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</si>
  <si>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</si>
  <si>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</si>
  <si>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</si>
  <si>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</si>
  <si>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</si>
  <si>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</si>
  <si>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</si>
  <si>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</si>
  <si>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</si>
  <si>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</si>
  <si>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</si>
  <si>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</si>
  <si>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</si>
  <si>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</si>
  <si>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</si>
  <si>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</si>
  <si>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</si>
  <si>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</si>
  <si>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</si>
  <si>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</si>
  <si>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</si>
  <si>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</si>
  <si>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</si>
  <si>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</si>
  <si>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</si>
  <si>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</si>
  <si>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</si>
  <si>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</si>
  <si>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</si>
  <si>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</si>
  <si>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</si>
  <si>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</si>
  <si>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</si>
  <si>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</si>
  <si>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</si>
  <si>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</si>
  <si>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</si>
  <si>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</si>
  <si>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</si>
  <si>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</si>
  <si>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</si>
  <si>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</si>
  <si>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</si>
  <si>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</si>
  <si>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</si>
  <si>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</si>
  <si>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</si>
  <si>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</si>
  <si>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</si>
  <si>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</si>
  <si>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</si>
  <si>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</si>
  <si>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</si>
  <si>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</si>
  <si>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</si>
  <si>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</si>
  <si>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</si>
  <si>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</si>
  <si>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</si>
  <si>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</si>
  <si>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</si>
  <si>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</si>
  <si>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</si>
  <si>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</si>
  <si>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</si>
  <si>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</si>
  <si>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</si>
  <si>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</si>
  <si>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</si>
  <si>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</si>
  <si>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</si>
  <si>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</si>
  <si>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</si>
  <si>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</si>
  <si>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</si>
  <si>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</si>
  <si>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</si>
  <si>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</si>
  <si>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</si>
  <si>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</si>
  <si>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</si>
  <si>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</si>
  <si>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</si>
  <si>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</si>
  <si>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</si>
  <si>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</si>
  <si>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</si>
  <si>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</si>
  <si>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</si>
  <si>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</si>
  <si>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</si>
  <si>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</si>
  <si>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</si>
  <si>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</si>
  <si>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</si>
  <si>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</si>
  <si>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</si>
  <si>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</si>
  <si>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</si>
  <si>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</si>
  <si>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</si>
  <si>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</si>
  <si>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</si>
  <si>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</si>
  <si>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</si>
  <si>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</si>
  <si>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</si>
  <si>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</si>
  <si>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</si>
  <si>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</si>
  <si>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</si>
  <si>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</si>
  <si>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</si>
  <si>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</si>
  <si>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</si>
  <si>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</si>
  <si>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</si>
  <si>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</si>
  <si>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</si>
  <si>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</si>
  <si>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</si>
  <si>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</si>
  <si>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</si>
  <si>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</si>
  <si>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</si>
  <si>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</si>
  <si>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</si>
  <si>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</si>
  <si>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</si>
  <si>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</si>
  <si>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</si>
  <si>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</si>
  <si>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</si>
  <si>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</si>
  <si>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</si>
  <si>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</si>
  <si>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</si>
  <si>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</si>
  <si>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</si>
  <si>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</si>
  <si>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</si>
  <si>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</si>
  <si>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</si>
  <si>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</si>
  <si>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</si>
  <si>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</si>
  <si>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</si>
  <si>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</si>
  <si>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</si>
  <si>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</si>
  <si>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</si>
  <si>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</si>
  <si>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</si>
  <si>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</si>
  <si>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</si>
  <si>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</si>
  <si>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</si>
  <si>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</si>
  <si>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</si>
  <si>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</si>
  <si>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</si>
  <si>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</si>
  <si>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</si>
  <si>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</si>
  <si>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</si>
  <si>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</si>
  <si>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</si>
  <si>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</si>
  <si>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</si>
  <si>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</si>
  <si>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</si>
  <si>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</si>
  <si>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</si>
  <si>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</si>
  <si>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</si>
  <si>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</si>
  <si>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</si>
  <si>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</si>
  <si>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</si>
  <si>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</si>
  <si>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</si>
  <si>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</si>
  <si>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</si>
  <si>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</si>
  <si>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</si>
  <si>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</si>
  <si>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</si>
  <si>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</si>
  <si>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</si>
  <si>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</si>
  <si>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</si>
  <si>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</si>
  <si>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</si>
  <si>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</si>
  <si>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</si>
  <si>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</si>
  <si>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</si>
  <si>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</si>
  <si>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</si>
  <si>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</si>
  <si>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</si>
  <si>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</si>
  <si>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</si>
  <si>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</si>
  <si>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</si>
  <si>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</si>
  <si>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</si>
  <si>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</si>
  <si>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</si>
  <si>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</si>
  <si>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</si>
  <si>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</si>
  <si>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</si>
  <si>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</si>
  <si>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</si>
  <si>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</si>
  <si>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</si>
  <si>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</si>
  <si>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</si>
  <si>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</si>
  <si>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</si>
  <si>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</si>
  <si>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</si>
  <si>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</si>
  <si>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</si>
  <si>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</si>
  <si>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</si>
  <si>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</si>
  <si>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</si>
  <si>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</si>
  <si>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</si>
  <si>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</si>
  <si>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</si>
  <si>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</si>
  <si>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</si>
  <si>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</si>
  <si>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</si>
  <si>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</si>
  <si>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</si>
  <si>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</si>
  <si>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</si>
  <si>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</si>
  <si>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</si>
  <si>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</si>
  <si>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</si>
  <si>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</si>
  <si>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</si>
  <si>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</si>
  <si>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</si>
  <si>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</si>
  <si>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</si>
  <si>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</si>
  <si>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</si>
  <si>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</si>
  <si>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</si>
  <si>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</si>
  <si>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</si>
  <si>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</si>
  <si>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</si>
  <si>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</si>
  <si>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</si>
  <si>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</si>
  <si>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</si>
  <si>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</si>
  <si>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</si>
  <si>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</si>
  <si>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</si>
  <si>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</si>
  <si>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</si>
  <si>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</si>
  <si>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</si>
  <si>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</si>
  <si>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</si>
  <si>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</si>
  <si>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</si>
  <si>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</si>
  <si>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</si>
  <si>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</si>
  <si>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</si>
  <si>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</si>
  <si>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</si>
  <si>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</si>
  <si>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</si>
  <si>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</si>
  <si>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</si>
  <si>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</si>
  <si>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</si>
  <si>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</si>
  <si>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</si>
  <si>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</si>
  <si>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</si>
  <si>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</si>
  <si>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</si>
  <si>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</si>
  <si>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</si>
  <si>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</si>
  <si>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</si>
  <si>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</si>
  <si>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</si>
  <si>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</si>
  <si>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</si>
  <si>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</si>
  <si>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</si>
  <si>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</si>
  <si>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</si>
  <si>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</si>
  <si>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</si>
  <si>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</si>
  <si>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</si>
  <si>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</si>
  <si>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</si>
  <si>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</si>
  <si>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</si>
  <si>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</si>
  <si>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</si>
  <si>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</si>
  <si>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</si>
  <si>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</si>
  <si>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</si>
  <si>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</si>
  <si>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</si>
  <si>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</si>
  <si>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</si>
  <si>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</si>
  <si>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</si>
  <si>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</si>
  <si>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</si>
  <si>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</si>
  <si>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</si>
  <si>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</si>
  <si>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</si>
  <si>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</si>
  <si>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</si>
  <si>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</si>
  <si>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</si>
  <si>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</si>
  <si>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</si>
  <si>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</si>
  <si>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</si>
  <si>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</si>
  <si>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</si>
  <si>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</si>
  <si>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</si>
  <si>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</si>
  <si>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</si>
  <si>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</si>
  <si>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</si>
  <si>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</si>
  <si>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</si>
  <si>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</si>
  <si>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</si>
  <si>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</si>
  <si>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</si>
  <si>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</si>
  <si>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</si>
  <si>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</si>
  <si>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</si>
  <si>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</si>
  <si>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</si>
  <si>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</si>
  <si>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</si>
  <si>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</si>
  <si>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</si>
  <si>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</si>
  <si>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</si>
  <si>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</si>
  <si>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</si>
  <si>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</si>
  <si>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</si>
  <si>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</si>
  <si>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</si>
  <si>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</si>
  <si>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</si>
  <si>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</si>
  <si>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</si>
  <si>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</si>
  <si>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</si>
  <si>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</si>
  <si>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</si>
  <si>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</si>
  <si>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</si>
  <si>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</si>
  <si>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</si>
  <si>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</si>
  <si>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</si>
  <si>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</si>
  <si>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</si>
  <si>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</si>
  <si>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</si>
  <si>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</si>
  <si>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</si>
  <si>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</si>
  <si>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</si>
  <si>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</si>
  <si>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</si>
  <si>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</si>
  <si>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</si>
  <si>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</si>
  <si>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</si>
  <si>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</si>
  <si>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</si>
  <si>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</si>
  <si>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</si>
  <si>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</si>
  <si>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</si>
  <si>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</si>
  <si>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</si>
  <si>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</si>
  <si>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</si>
  <si>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</si>
  <si>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</si>
  <si>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</si>
  <si>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</si>
  <si>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</si>
  <si>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</si>
  <si>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</si>
  <si>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</si>
  <si>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</si>
  <si>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</si>
  <si>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</si>
  <si>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</si>
  <si>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</si>
  <si>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</si>
  <si>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</si>
  <si>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</si>
  <si>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</si>
  <si>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</si>
  <si>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</si>
  <si>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</si>
  <si>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</si>
  <si>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</si>
  <si>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</si>
  <si>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</si>
  <si>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</si>
  <si>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</si>
  <si>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</si>
  <si>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</si>
  <si>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</si>
  <si>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</si>
  <si>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</si>
  <si>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</si>
  <si>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</si>
  <si>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</si>
  <si>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</si>
  <si>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</si>
  <si>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</si>
  <si>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</si>
  <si>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</si>
  <si>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</si>
  <si>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</si>
  <si>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</si>
  <si>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</si>
  <si>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</si>
  <si>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</si>
  <si>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</si>
  <si>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</si>
  <si>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</si>
  <si>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</si>
  <si>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</si>
  <si>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</si>
  <si>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</si>
  <si>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</si>
  <si>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</si>
  <si>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</si>
  <si>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</si>
  <si>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</si>
  <si>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</si>
  <si>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</si>
  <si>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</si>
  <si>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</si>
  <si>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</si>
  <si>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</si>
  <si>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</si>
  <si>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</si>
  <si>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</si>
  <si>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</si>
  <si>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</si>
  <si>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</si>
  <si>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</si>
  <si>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</si>
  <si>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</si>
  <si>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</si>
  <si>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</si>
  <si>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</si>
  <si>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</si>
  <si>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</si>
  <si>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</si>
  <si>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</si>
  <si>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</si>
  <si>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</si>
  <si>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</si>
  <si>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</si>
  <si>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</si>
  <si>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</si>
  <si>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</si>
  <si>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</si>
  <si>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</si>
  <si>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</si>
  <si>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</si>
  <si>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</si>
  <si>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</si>
  <si>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</si>
  <si>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</si>
  <si>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</si>
  <si>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</si>
  <si>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</si>
  <si>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</si>
  <si>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</si>
  <si>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</si>
  <si>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</si>
  <si>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</si>
  <si>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</si>
  <si>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</si>
  <si>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</si>
  <si>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</si>
  <si>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</si>
  <si>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</si>
  <si>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</si>
  <si>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</si>
  <si>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</si>
  <si>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</si>
  <si>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</si>
  <si>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</si>
  <si>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</si>
  <si>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</si>
  <si>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</si>
  <si>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</si>
  <si>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</si>
  <si>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</si>
  <si>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</si>
  <si>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</si>
  <si>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</si>
  <si>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</si>
  <si>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</si>
  <si>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</si>
  <si>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</si>
  <si>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</si>
  <si>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</si>
  <si>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</si>
  <si>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</si>
  <si>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</si>
  <si>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</si>
  <si>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</si>
  <si>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</si>
  <si>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</si>
  <si>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</si>
  <si>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</si>
  <si>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</si>
  <si>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</si>
  <si>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</si>
  <si>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</si>
  <si>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</si>
  <si>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</si>
  <si>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</si>
  <si>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</si>
  <si>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</si>
  <si>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</si>
  <si>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</si>
  <si>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</si>
  <si>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</si>
  <si>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</si>
  <si>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</si>
  <si>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</si>
  <si>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</si>
  <si>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</si>
  <si>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</si>
  <si>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</si>
  <si>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</si>
  <si>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</si>
  <si>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</si>
  <si>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</si>
  <si>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</si>
  <si>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</si>
  <si>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</si>
  <si>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</si>
  <si>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</si>
  <si>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</si>
  <si>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</si>
  <si>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</si>
  <si>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</si>
  <si>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</si>
  <si>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</si>
  <si>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</si>
  <si>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</si>
  <si>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</si>
  <si>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</si>
  <si>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</si>
  <si>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</si>
  <si>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</si>
  <si>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</si>
  <si>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</si>
  <si>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</si>
  <si>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</si>
  <si>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</si>
  <si>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</si>
  <si>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</si>
  <si>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</si>
  <si>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</si>
  <si>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</si>
  <si>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</si>
  <si>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</si>
  <si>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</si>
  <si>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</si>
  <si>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</si>
  <si>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</si>
  <si>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</si>
  <si>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</si>
  <si>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</si>
  <si>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</si>
  <si>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</si>
  <si>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</si>
  <si>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</si>
  <si>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</si>
  <si>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</si>
  <si>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</si>
  <si>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</si>
  <si>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</si>
  <si>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</si>
  <si>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</si>
  <si>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</si>
  <si>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</si>
  <si>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</si>
  <si>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</si>
  <si>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</si>
  <si>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</si>
  <si>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</si>
  <si>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</si>
  <si>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</si>
  <si>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</si>
  <si>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</si>
  <si>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</si>
  <si>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</si>
  <si>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</si>
  <si>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</si>
  <si>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</si>
  <si>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</si>
  <si>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</si>
  <si>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</si>
  <si>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</si>
  <si>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</si>
  <si>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</si>
  <si>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</si>
  <si>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</si>
  <si>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</si>
  <si>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</si>
  <si>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</si>
  <si>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</si>
  <si>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</si>
  <si>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</si>
  <si>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</si>
  <si>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</si>
  <si>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</si>
  <si>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</si>
  <si>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</si>
  <si>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</si>
  <si>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</si>
  <si>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</si>
  <si>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</si>
  <si>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</si>
  <si>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</si>
  <si>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</si>
  <si>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</si>
  <si>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</si>
  <si>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</si>
  <si>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</si>
  <si>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</si>
  <si>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</si>
  <si>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</si>
  <si>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</si>
  <si>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</si>
  <si>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</si>
  <si>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</si>
  <si>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</si>
  <si>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</si>
  <si>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</si>
  <si>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</si>
  <si>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</si>
  <si>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</si>
  <si>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</si>
  <si>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</si>
  <si>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</si>
  <si>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</si>
  <si>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</si>
  <si>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</si>
  <si>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</si>
  <si>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</si>
  <si>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</si>
  <si>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</si>
  <si>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</si>
  <si>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</si>
  <si>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</si>
  <si>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</si>
  <si>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</si>
  <si>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</si>
  <si>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</si>
  <si>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</si>
  <si>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</si>
  <si>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</si>
  <si>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</si>
  <si>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</si>
  <si>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</si>
  <si>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</si>
  <si>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</si>
  <si>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</si>
  <si>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</si>
  <si>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</si>
  <si>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</si>
  <si>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</si>
  <si>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</si>
  <si>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</si>
  <si>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</si>
  <si>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</si>
  <si>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</si>
  <si>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</si>
  <si>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</si>
  <si>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</si>
  <si>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</si>
  <si>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</si>
  <si>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</si>
  <si>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</si>
  <si>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</si>
  <si>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</si>
  <si>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</si>
  <si>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</si>
  <si>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</si>
  <si>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</si>
  <si>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</si>
  <si>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</si>
  <si>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</si>
  <si>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</si>
  <si>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</si>
  <si>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</si>
  <si>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</si>
  <si>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</si>
  <si>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</si>
  <si>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</si>
  <si>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</si>
  <si>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</si>
  <si>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</si>
  <si>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</si>
  <si>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</si>
  <si>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</si>
  <si>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</si>
  <si>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</si>
  <si>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</si>
  <si>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</si>
  <si>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</si>
  <si>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</si>
  <si>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</si>
  <si>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</si>
  <si>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</si>
  <si>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</si>
  <si>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</si>
  <si>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</si>
  <si>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</si>
  <si>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</si>
  <si>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</si>
  <si>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</si>
  <si>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</si>
  <si>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</si>
  <si>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</si>
  <si>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</si>
  <si>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</si>
  <si>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</si>
  <si>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</si>
  <si>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</si>
  <si>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</si>
  <si>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</si>
  <si>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</si>
  <si>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</si>
  <si>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</si>
  <si>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</si>
  <si>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</si>
  <si>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</si>
  <si>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</si>
  <si>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</si>
  <si>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</si>
  <si>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</si>
  <si>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</si>
  <si>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</si>
  <si>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</si>
  <si>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</si>
  <si>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</si>
  <si>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</si>
  <si>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</si>
  <si>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</si>
  <si>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</si>
  <si>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</si>
  <si>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</si>
  <si>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</si>
  <si>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</si>
  <si>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</si>
  <si>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</si>
  <si>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</si>
  <si>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</si>
  <si>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</si>
  <si>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</si>
  <si>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</si>
  <si>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</si>
  <si>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</si>
  <si>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</si>
  <si>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</si>
  <si>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</si>
  <si>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</si>
  <si>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</si>
  <si>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</si>
  <si>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</si>
  <si>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</si>
  <si>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</si>
  <si>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</si>
  <si>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</si>
  <si>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</si>
  <si>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</si>
  <si>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</si>
  <si>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</si>
  <si>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</si>
  <si>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</si>
  <si>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</si>
  <si>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</si>
  <si>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</si>
  <si>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</si>
  <si>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</si>
  <si>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</si>
  <si>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</si>
  <si>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</si>
  <si>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</si>
  <si>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</si>
  <si>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</si>
  <si>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</si>
  <si>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</si>
  <si>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</si>
  <si>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</si>
  <si>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</si>
  <si>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</si>
  <si>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</si>
  <si>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</si>
  <si>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</si>
  <si>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</si>
  <si>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</si>
  <si>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</si>
  <si>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</si>
  <si>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</si>
  <si>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</si>
  <si>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</si>
  <si>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</si>
  <si>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</si>
  <si>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</si>
  <si>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</si>
  <si>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</si>
  <si>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</si>
  <si>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</si>
  <si>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</si>
  <si>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</si>
  <si>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</si>
  <si>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</si>
  <si>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</si>
  <si>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</si>
  <si>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</si>
  <si>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</si>
  <si>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</si>
  <si>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</si>
  <si>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</si>
  <si>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</si>
  <si>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</si>
  <si>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</si>
  <si>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</si>
  <si>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</si>
  <si>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</si>
  <si>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</si>
  <si>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</si>
  <si>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</si>
  <si>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</si>
  <si>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</si>
  <si>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</si>
  <si>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</si>
  <si>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</si>
  <si>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</si>
  <si>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</si>
  <si>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</si>
  <si>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</si>
  <si>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</si>
  <si>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</si>
  <si>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</si>
  <si>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</si>
  <si>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</si>
  <si>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</si>
  <si>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</si>
  <si>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</si>
  <si>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</si>
  <si>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</si>
  <si>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</si>
  <si>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</si>
  <si>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</si>
  <si>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</si>
  <si>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</si>
  <si>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</si>
  <si>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</si>
  <si>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</si>
  <si>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</si>
  <si>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</si>
  <si>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</si>
  <si>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</si>
  <si>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</si>
  <si>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</si>
  <si>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</si>
  <si>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</si>
  <si>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</si>
  <si>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</si>
  <si>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</si>
  <si>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</si>
  <si>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</si>
  <si>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</si>
  <si>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</si>
  <si>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</si>
  <si>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</si>
  <si>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</si>
  <si>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</si>
  <si>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</si>
  <si>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</si>
  <si>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</si>
  <si>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</si>
  <si>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</si>
  <si>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</si>
  <si>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</si>
  <si>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</si>
  <si>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</si>
  <si>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</si>
  <si>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</si>
  <si>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</si>
  <si>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</si>
  <si>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</si>
  <si>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</si>
  <si>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</si>
  <si>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</si>
  <si>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</si>
  <si>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</si>
  <si>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</si>
  <si>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</si>
  <si>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</si>
  <si>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</si>
  <si>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</si>
  <si>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</si>
  <si>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</si>
  <si>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</si>
  <si>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</si>
  <si>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</si>
  <si>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</si>
  <si>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</si>
  <si>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</si>
  <si>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</si>
  <si>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</si>
  <si>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</si>
  <si>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</si>
  <si>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</si>
  <si>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</si>
  <si>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</si>
  <si>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</si>
  <si>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</si>
  <si>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</si>
  <si>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</si>
  <si>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</si>
  <si>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</si>
  <si>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</si>
  <si>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</si>
  <si>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</si>
  <si>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</si>
  <si>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</si>
  <si>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</si>
  <si>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</si>
  <si>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</si>
  <si>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</si>
  <si>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</si>
  <si>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</si>
  <si>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</si>
  <si>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</si>
  <si>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</si>
  <si>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</si>
  <si>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</si>
  <si>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</si>
  <si>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</si>
  <si>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</si>
  <si>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</si>
  <si>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</si>
  <si>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</si>
  <si>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</si>
  <si>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</si>
  <si>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</si>
  <si>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</si>
  <si>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</si>
  <si>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</si>
  <si>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</si>
  <si>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</si>
  <si>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</si>
  <si>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</si>
  <si>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</si>
  <si>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</si>
  <si>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</si>
  <si>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</si>
  <si>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</si>
  <si>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</si>
  <si>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</si>
  <si>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</si>
  <si>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</si>
  <si>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</si>
  <si>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</si>
  <si>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</si>
  <si>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</si>
  <si>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</si>
  <si>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</si>
  <si>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</si>
  <si>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</si>
  <si>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</si>
  <si>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</si>
  <si>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</si>
  <si>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</si>
  <si>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</si>
  <si>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</si>
  <si>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</si>
  <si>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</si>
  <si>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</si>
  <si>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</si>
  <si>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</si>
  <si>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</si>
  <si>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</si>
  <si>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</si>
  <si>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</si>
  <si>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</si>
  <si>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</si>
  <si>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</si>
  <si>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</si>
  <si>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</si>
  <si>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</si>
  <si>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</si>
  <si>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</si>
  <si>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</si>
  <si>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</si>
  <si>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</si>
  <si>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</si>
  <si>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</si>
  <si>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</si>
  <si>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</si>
  <si>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</si>
  <si>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</si>
  <si>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</si>
  <si>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</si>
  <si>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</si>
  <si>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</si>
  <si>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</si>
  <si>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</si>
  <si>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</si>
  <si>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</si>
  <si>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</si>
  <si>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</si>
  <si>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</si>
  <si>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</si>
  <si>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</si>
  <si>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</si>
  <si>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</si>
  <si>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</si>
  <si>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</si>
  <si>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</si>
  <si>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</si>
  <si>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</si>
  <si>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</si>
  <si>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</si>
  <si>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</si>
  <si>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</si>
  <si>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</si>
  <si>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</si>
  <si>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</si>
  <si>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</si>
  <si>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</si>
  <si>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</si>
  <si>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</si>
  <si>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</si>
  <si>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</si>
  <si>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</si>
  <si>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</si>
  <si>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</si>
  <si>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</si>
  <si>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</si>
  <si>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</si>
  <si>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</si>
  <si>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</si>
  <si>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</si>
  <si>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</si>
  <si>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</si>
  <si>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</si>
  <si>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</si>
  <si>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</si>
  <si>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</si>
  <si>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</si>
  <si>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</si>
  <si>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</si>
  <si>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</si>
  <si>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</si>
  <si>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</si>
  <si>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</si>
  <si>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</si>
  <si>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</si>
  <si>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</si>
  <si>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</si>
  <si>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</si>
  <si>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</si>
  <si>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</si>
  <si>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</si>
  <si>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</si>
  <si>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</si>
  <si>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</si>
  <si>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</si>
  <si>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</si>
  <si>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</si>
  <si>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</si>
  <si>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</si>
  <si>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</si>
  <si>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</si>
  <si>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</si>
  <si>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</si>
  <si>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</si>
  <si>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</si>
  <si>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</si>
  <si>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</si>
  <si>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</si>
  <si>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</si>
  <si>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</si>
  <si>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</si>
  <si>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</si>
  <si>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</si>
  <si>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</si>
  <si>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</si>
  <si>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</si>
  <si>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</si>
  <si>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</si>
  <si>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</si>
  <si>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</si>
  <si>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</si>
  <si>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</si>
  <si>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</si>
  <si>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</si>
  <si>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</si>
  <si>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</si>
  <si>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</si>
  <si>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</si>
  <si>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</si>
  <si>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</si>
  <si>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</si>
  <si>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</si>
  <si>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</si>
  <si>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</si>
  <si>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</si>
  <si>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</si>
  <si>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</si>
  <si>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</si>
  <si>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</si>
  <si>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</si>
  <si>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</si>
  <si>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</si>
  <si>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</si>
  <si>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</si>
  <si>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</si>
  <si>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</si>
  <si>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</si>
  <si>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</si>
  <si>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</si>
  <si>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</si>
  <si>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</si>
  <si>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</si>
  <si>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</si>
  <si>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</si>
  <si>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</si>
  <si>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</si>
  <si>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</si>
  <si>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</si>
  <si>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</si>
  <si>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</si>
  <si>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</si>
  <si>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</si>
  <si>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</si>
  <si>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</si>
  <si>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</si>
  <si>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</si>
  <si>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</si>
  <si>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</si>
  <si>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</si>
  <si>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</si>
  <si>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</si>
  <si>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</si>
  <si>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</si>
  <si>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</si>
  <si>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</si>
  <si>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</si>
  <si>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</si>
  <si>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</si>
  <si>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</si>
  <si>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</si>
  <si>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</si>
  <si>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</si>
  <si>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</si>
  <si>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</si>
  <si>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</si>
  <si>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</si>
  <si>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</si>
  <si>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</si>
  <si>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</si>
  <si>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</si>
  <si>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</si>
  <si>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</si>
  <si>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</si>
  <si>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</si>
  <si>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</si>
  <si>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</si>
  <si>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</si>
  <si>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</si>
  <si>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</si>
  <si>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</si>
  <si>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</si>
  <si>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</si>
  <si>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</si>
  <si>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</si>
  <si>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</si>
  <si>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</si>
  <si>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</si>
  <si>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</si>
  <si>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</si>
  <si>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</si>
  <si>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</si>
  <si>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</si>
  <si>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</si>
  <si>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</si>
  <si>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</si>
  <si>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</si>
  <si>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</si>
  <si>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</si>
  <si>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</si>
  <si>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</si>
  <si>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</si>
  <si>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</si>
  <si>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</si>
  <si>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</si>
  <si>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</si>
  <si>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</si>
  <si>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</si>
  <si>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</si>
  <si>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</si>
  <si>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</si>
  <si>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</si>
  <si>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</si>
  <si>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</si>
  <si>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</si>
  <si>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</si>
  <si>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</si>
  <si>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</si>
  <si>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</si>
  <si>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</si>
  <si>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</si>
  <si>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</si>
  <si>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</si>
  <si>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</si>
  <si>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</si>
  <si>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</si>
  <si>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</si>
  <si>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</si>
  <si>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</si>
  <si>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</si>
  <si>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</si>
  <si>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</si>
  <si>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</si>
  <si>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</si>
  <si>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</si>
  <si>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</si>
  <si>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</si>
  <si>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</si>
  <si>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</si>
  <si>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</si>
  <si>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</si>
  <si>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</si>
  <si>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</si>
  <si>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</si>
  <si>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</si>
  <si>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</si>
  <si>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</si>
  <si>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</si>
  <si>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</si>
  <si>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</si>
  <si>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</si>
  <si>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</si>
  <si>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</si>
  <si>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</si>
  <si>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</si>
  <si>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</si>
  <si>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</si>
  <si>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</si>
  <si>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</si>
  <si>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</si>
  <si>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</si>
  <si>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</si>
  <si>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</si>
  <si>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</si>
  <si>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</si>
  <si>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</si>
  <si>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</si>
  <si>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</si>
  <si>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</si>
  <si>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</si>
  <si>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</si>
  <si>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</si>
  <si>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</si>
  <si>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</si>
  <si>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</si>
  <si>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</si>
  <si>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</si>
  <si>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</si>
  <si>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</si>
  <si>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</si>
  <si>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</si>
  <si>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</si>
  <si>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</si>
  <si>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</si>
  <si>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</si>
  <si>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</si>
  <si>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</si>
  <si>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</si>
  <si>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</si>
  <si>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</si>
  <si>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</si>
  <si>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</si>
  <si>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</si>
  <si>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</si>
  <si>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</si>
  <si>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</si>
  <si>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</si>
  <si>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</si>
  <si>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</si>
  <si>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</si>
  <si>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</si>
  <si>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</si>
  <si>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</si>
  <si>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</si>
  <si>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</si>
  <si>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</si>
  <si>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</si>
  <si>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</si>
  <si>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</si>
  <si>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</si>
  <si>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</si>
  <si>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</si>
  <si>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</si>
  <si>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</si>
  <si>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</si>
  <si>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</si>
  <si>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</si>
  <si>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</si>
  <si>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</si>
  <si>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</si>
  <si>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</si>
  <si>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</si>
  <si>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</si>
  <si>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</si>
  <si>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</si>
  <si>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</si>
  <si>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</si>
  <si>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</si>
  <si>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</si>
  <si>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</si>
  <si>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</si>
  <si>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</si>
  <si>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</si>
  <si>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</si>
  <si>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</si>
  <si>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</si>
  <si>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</si>
  <si>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</si>
  <si>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</si>
  <si>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</si>
  <si>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</si>
  <si>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</si>
  <si>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</si>
  <si>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</si>
  <si>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</si>
  <si>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</si>
  <si>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</si>
  <si>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</si>
  <si>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</si>
  <si>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</si>
  <si>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</si>
  <si>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</si>
  <si>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</si>
  <si>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</si>
  <si>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</si>
  <si>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</si>
  <si>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</si>
  <si>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</si>
  <si>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</si>
  <si>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</si>
  <si>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</si>
  <si>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</si>
  <si>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</si>
  <si>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</si>
  <si>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</si>
  <si>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</si>
  <si>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</si>
  <si>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</si>
  <si>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</si>
  <si>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</si>
  <si>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</si>
  <si>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</si>
  <si>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</si>
  <si>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</si>
  <si>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</si>
  <si>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</si>
  <si>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</si>
  <si>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</si>
  <si>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</si>
  <si>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</si>
  <si>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</si>
  <si>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</si>
  <si>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</si>
  <si>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</si>
  <si>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</si>
  <si>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</si>
  <si>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</si>
  <si>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</si>
  <si>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</si>
  <si>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</si>
  <si>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</si>
  <si>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</si>
  <si>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</si>
  <si>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</si>
  <si>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</si>
  <si>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</si>
  <si>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</si>
  <si>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</si>
  <si>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</si>
  <si>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</si>
  <si>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</si>
  <si>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</si>
  <si>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</si>
  <si>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</si>
  <si>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</si>
  <si>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</si>
  <si>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</si>
  <si>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</si>
  <si>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</si>
  <si>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</si>
  <si>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</si>
  <si>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</si>
  <si>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</si>
  <si>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</si>
  <si>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</si>
  <si>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</si>
  <si>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</si>
  <si>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</si>
  <si>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</si>
  <si>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</si>
  <si>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</si>
  <si>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</si>
  <si>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</si>
  <si>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</si>
  <si>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</si>
  <si>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</si>
  <si>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</si>
  <si>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</si>
  <si>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</si>
  <si>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</si>
  <si>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</si>
  <si>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</si>
  <si>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</si>
  <si>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</si>
  <si>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</si>
  <si>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</si>
  <si>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</si>
  <si>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</si>
  <si>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</si>
  <si>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</si>
  <si>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</si>
  <si>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</si>
  <si>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</si>
  <si>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</si>
  <si>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</si>
  <si>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</si>
  <si>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</si>
  <si>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</si>
  <si>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</si>
  <si>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</si>
  <si>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</si>
  <si>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</si>
  <si>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</si>
  <si>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</si>
  <si>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</si>
  <si>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</si>
  <si>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</si>
  <si>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</si>
  <si>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</si>
  <si>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</si>
  <si>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</si>
  <si>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</si>
  <si>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</si>
  <si>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</si>
  <si>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</si>
  <si>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</si>
  <si>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</si>
  <si>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</si>
  <si>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</si>
  <si>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</si>
  <si>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</si>
  <si>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</si>
  <si>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</si>
  <si>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</si>
  <si>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</si>
  <si>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</si>
  <si>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</si>
  <si>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</si>
  <si>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</si>
  <si>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</si>
  <si>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</si>
  <si>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</si>
  <si>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</si>
  <si>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</si>
  <si>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</si>
  <si>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</si>
  <si>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</si>
  <si>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</si>
  <si>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</si>
  <si>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</si>
  <si>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</si>
  <si>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</si>
  <si>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</si>
  <si>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</si>
  <si>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</si>
  <si>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</si>
  <si>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</si>
  <si>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</si>
  <si>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</si>
  <si>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</si>
  <si>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</si>
  <si>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</si>
  <si>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</si>
  <si>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</si>
  <si>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</si>
  <si>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</si>
  <si>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</si>
  <si>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</si>
  <si>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</si>
  <si>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</si>
  <si>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</si>
  <si>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</si>
  <si>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</si>
  <si>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</si>
  <si>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</si>
  <si>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</si>
  <si>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</si>
  <si>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</si>
  <si>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</si>
  <si>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</si>
  <si>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</si>
  <si>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</si>
  <si>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</si>
  <si>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</si>
  <si>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</si>
  <si>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</si>
  <si>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</si>
  <si>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</si>
  <si>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</si>
  <si>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</si>
  <si>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</si>
  <si>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</si>
  <si>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</si>
  <si>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</si>
  <si>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</si>
  <si>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</si>
  <si>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</si>
  <si>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</si>
  <si>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</si>
  <si>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</si>
  <si>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</si>
  <si>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</si>
  <si>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</si>
  <si>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</si>
  <si>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</si>
  <si>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</si>
  <si>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</si>
  <si>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</si>
  <si>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</si>
  <si>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</si>
  <si>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</si>
  <si>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</si>
  <si>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</si>
  <si>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</si>
  <si>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</si>
  <si>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</si>
  <si>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</si>
  <si>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</si>
  <si>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</si>
  <si>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</si>
  <si>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</si>
  <si>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</si>
  <si>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</si>
  <si>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</si>
  <si>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</si>
  <si>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</si>
  <si>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</si>
  <si>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</si>
  <si>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</si>
  <si>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</si>
  <si>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</si>
  <si>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</si>
  <si>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</si>
  <si>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</si>
  <si>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</si>
  <si>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</si>
  <si>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</si>
  <si>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</si>
  <si>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</si>
  <si>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</si>
  <si>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</si>
  <si>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</si>
  <si>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</si>
  <si>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</si>
  <si>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</si>
  <si>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</si>
  <si>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</si>
  <si>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</si>
  <si>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</si>
  <si>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</si>
  <si>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</si>
  <si>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</si>
  <si>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</si>
  <si>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</si>
  <si>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</si>
  <si>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</si>
  <si>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</si>
  <si>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</si>
  <si>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</si>
  <si>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</si>
  <si>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</si>
  <si>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</si>
  <si>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</si>
  <si>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</si>
  <si>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</si>
  <si>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</si>
  <si>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</si>
  <si>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</si>
  <si>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</si>
  <si>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</si>
  <si>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</si>
  <si>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</si>
  <si>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</si>
  <si>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</si>
  <si>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</si>
  <si>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</si>
  <si>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</si>
  <si>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</si>
  <si>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</si>
  <si>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</si>
  <si>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</si>
  <si>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</si>
  <si>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</si>
  <si>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</si>
  <si>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</si>
  <si>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</si>
  <si>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</si>
  <si>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</si>
  <si>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</si>
  <si>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</si>
  <si>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</si>
  <si>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</si>
  <si>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</si>
  <si>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</si>
  <si>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</si>
  <si>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</si>
  <si>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</si>
  <si>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</si>
  <si>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</si>
  <si>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</si>
  <si>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</si>
  <si>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</si>
  <si>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</si>
  <si>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</si>
  <si>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</si>
  <si>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</si>
  <si>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</si>
  <si>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</si>
  <si>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</si>
  <si>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</si>
  <si>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</si>
  <si>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</si>
  <si>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</si>
  <si>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</si>
  <si>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</si>
  <si>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</si>
  <si>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</si>
  <si>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</si>
  <si>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</si>
  <si>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</si>
  <si>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</si>
  <si>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</si>
  <si>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</si>
  <si>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</si>
  <si>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</si>
  <si>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</si>
  <si>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</si>
  <si>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</si>
  <si>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</si>
  <si>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</si>
  <si>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</si>
  <si>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</si>
  <si>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</si>
  <si>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</si>
  <si>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</si>
  <si>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</si>
  <si>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</si>
  <si>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</si>
  <si>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</si>
  <si>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</si>
  <si>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</si>
  <si>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</si>
  <si>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</si>
  <si>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</si>
  <si>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</si>
  <si>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</si>
  <si>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</si>
  <si>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</si>
  <si>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</si>
  <si>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</si>
  <si>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</si>
  <si>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</si>
  <si>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</si>
  <si>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</si>
  <si>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</si>
  <si>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</si>
  <si>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</si>
  <si>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</si>
  <si>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</si>
  <si>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</si>
  <si>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</si>
  <si>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</si>
  <si>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</si>
  <si>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</si>
  <si>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</si>
  <si>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</si>
  <si>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</si>
  <si>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</si>
  <si>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</si>
  <si>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</si>
  <si>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</si>
  <si>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</si>
  <si>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</si>
  <si>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</si>
  <si>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</si>
  <si>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</si>
  <si>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</si>
  <si>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</si>
  <si>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</si>
  <si>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</si>
  <si>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</si>
  <si>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</si>
  <si>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</si>
  <si>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</si>
  <si>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</si>
  <si>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</si>
  <si>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</si>
  <si>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</si>
  <si>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</si>
  <si>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</si>
  <si>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</si>
  <si>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</si>
  <si>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</si>
  <si>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</si>
  <si>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</si>
  <si>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</si>
  <si>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</si>
  <si>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</si>
  <si>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</si>
  <si>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</si>
  <si>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</si>
  <si>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</si>
  <si>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</si>
  <si>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</si>
  <si>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</si>
  <si>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</si>
  <si>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</si>
  <si>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</si>
  <si>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</si>
  <si>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</si>
  <si>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</si>
  <si>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</si>
  <si>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</si>
  <si>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</si>
  <si>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</si>
  <si>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</si>
  <si>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</si>
  <si>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</si>
  <si>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</si>
  <si>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</si>
  <si>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</si>
  <si>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</si>
  <si>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</si>
  <si>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</si>
  <si>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</si>
  <si>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</si>
  <si>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</si>
  <si>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</si>
  <si>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</si>
  <si>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</si>
  <si>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</si>
  <si>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</si>
  <si>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</si>
  <si>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</si>
  <si>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</si>
  <si>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</si>
  <si>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</si>
  <si>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</si>
  <si>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</si>
  <si>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</si>
  <si>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</si>
  <si>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</si>
  <si>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</si>
  <si>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</si>
  <si>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</si>
  <si>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</si>
  <si>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</si>
  <si>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</si>
  <si>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</si>
  <si>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</si>
  <si>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</si>
  <si>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</si>
  <si>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</si>
  <si>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</si>
  <si>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</si>
  <si>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</si>
  <si>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</si>
  <si>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</si>
  <si>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</si>
  <si>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</si>
  <si>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</si>
  <si>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</si>
  <si>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</si>
  <si>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</si>
  <si>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</si>
  <si>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</si>
  <si>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</si>
  <si>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</si>
  <si>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</si>
  <si>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</si>
  <si>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</si>
  <si>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</si>
  <si>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</si>
  <si>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</si>
  <si>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</si>
  <si>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</si>
  <si>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</si>
  <si>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</si>
  <si>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</si>
  <si>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</si>
  <si>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</si>
  <si>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</si>
  <si>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</si>
  <si>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</si>
  <si>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</si>
  <si>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</si>
  <si>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</si>
  <si>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</si>
  <si>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</si>
  <si>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</si>
  <si>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</si>
  <si>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</si>
  <si>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</si>
  <si>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</si>
  <si>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</si>
  <si>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</si>
  <si>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</si>
  <si>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</si>
  <si>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</si>
  <si>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</si>
  <si>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</si>
  <si>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</si>
  <si>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</si>
  <si>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</si>
  <si>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</si>
  <si>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</si>
  <si>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</si>
  <si>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</si>
  <si>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</si>
  <si>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</si>
  <si>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</si>
  <si>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</si>
  <si>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</si>
  <si>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</si>
  <si>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</si>
  <si>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</si>
  <si>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</si>
  <si>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</si>
  <si>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</si>
  <si>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</si>
  <si>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</si>
  <si>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</si>
  <si>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</si>
  <si>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</si>
  <si>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</si>
  <si>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</si>
  <si>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</si>
  <si>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</si>
  <si>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</si>
  <si>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</si>
  <si>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</si>
  <si>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</si>
  <si>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</si>
  <si>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</si>
  <si>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</si>
  <si>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</si>
  <si>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</si>
  <si>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</si>
  <si>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</si>
  <si>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</si>
  <si>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</si>
  <si>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</si>
  <si>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</si>
  <si>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</si>
  <si>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</si>
  <si>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</si>
  <si>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</si>
  <si>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</si>
  <si>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</si>
  <si>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</si>
  <si>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</si>
  <si>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</si>
  <si>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</si>
  <si>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</si>
  <si>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</si>
  <si>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</si>
  <si>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</si>
  <si>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</si>
  <si>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</si>
  <si>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</si>
  <si>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</si>
  <si>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</si>
  <si>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</si>
  <si>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</si>
  <si>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</si>
  <si>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</si>
  <si>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</si>
  <si>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</si>
  <si>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</si>
  <si>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</si>
  <si>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</si>
  <si>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</si>
  <si>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</si>
  <si>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</si>
  <si>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</si>
  <si>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</si>
  <si>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</si>
  <si>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</si>
  <si>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</si>
  <si>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</si>
  <si>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</si>
  <si>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</si>
  <si>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</si>
  <si>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</si>
  <si>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</si>
  <si>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</si>
  <si>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</si>
  <si>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</si>
  <si>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</si>
  <si>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</si>
  <si>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</si>
  <si>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</si>
  <si>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</si>
  <si>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</si>
  <si>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</si>
  <si>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</si>
  <si>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</si>
  <si>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</si>
  <si>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</si>
  <si>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</si>
  <si>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</si>
  <si>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</si>
  <si>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</si>
  <si>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</si>
  <si>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</si>
  <si>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</si>
  <si>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</si>
  <si>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</si>
  <si>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</si>
  <si>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</si>
  <si>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</si>
  <si>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</si>
  <si>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</si>
  <si>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</si>
  <si>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</si>
  <si>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</si>
  <si>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</si>
  <si>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</si>
  <si>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</si>
  <si>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</si>
  <si>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</si>
  <si>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</si>
  <si>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</si>
  <si>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</si>
  <si>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</si>
  <si>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</si>
  <si>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</si>
  <si>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</si>
  <si>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</si>
  <si>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</si>
  <si>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</si>
  <si>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</si>
  <si>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</si>
  <si>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</si>
  <si>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</si>
  <si>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</si>
  <si>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</si>
  <si>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</si>
  <si>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</si>
  <si>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</si>
  <si>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</si>
  <si>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</si>
  <si>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</si>
  <si>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</si>
  <si>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</si>
  <si>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</si>
  <si>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</si>
  <si>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</si>
  <si>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</si>
  <si>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</si>
  <si>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</si>
  <si>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</si>
  <si>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</si>
  <si>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</si>
  <si>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</si>
  <si>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</si>
  <si>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</si>
  <si>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</si>
  <si>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</si>
  <si>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</si>
  <si>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</si>
  <si>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</si>
  <si>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</si>
  <si>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</si>
  <si>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F174739</t>
  </si>
  <si>
    <t>KJLTVR111220R01</t>
  </si>
  <si>
    <t>LTVR1</t>
  </si>
  <si>
    <t>2 - c/Larguero</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</si>
</sst>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69.399999999999991</c:v>
                </c:pt>
                <c:pt idx="2">
                  <c:v>47</c:v>
                </c:pt>
                <c:pt idx="3">
                  <c:v>47</c:v>
                </c:pt>
                <c:pt idx="4">
                  <c:v>13</c:v>
                </c:pt>
                <c:pt idx="6">
                  <c:v>51.800000000000004</c:v>
                </c:pt>
                <c:pt idx="7">
                  <c:v>51.6</c:v>
                </c:pt>
                <c:pt idx="8">
                  <c:v>47.2</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93578368"/>
        <c:axId val="93579904"/>
      </c:barChart>
      <c:catAx>
        <c:axId val="9357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93579904"/>
        <c:crossesAt val="0"/>
        <c:auto val="1"/>
        <c:lblAlgn val="ctr"/>
        <c:lblOffset val="100"/>
        <c:tickLblSkip val="1"/>
        <c:tickMarkSkip val="1"/>
        <c:noMultiLvlLbl val="0"/>
      </c:catAx>
      <c:valAx>
        <c:axId val="93579904"/>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93578368"/>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72.974867174213884</c:v>
                </c:pt>
              </c:numCache>
            </c:numRef>
          </c:xVal>
          <c:yVal>
            <c:numRef>
              <c:f>'Diagram Data'!$F$25</c:f>
              <c:numCache>
                <c:formatCode>0.00</c:formatCode>
                <c:ptCount val="1"/>
                <c:pt idx="0">
                  <c:v>634.56396415688346</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93369088"/>
        <c:axId val="93371008"/>
      </c:scatterChart>
      <c:valAx>
        <c:axId val="933690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93371008"/>
        <c:crosses val="autoZero"/>
        <c:crossBetween val="midCat"/>
      </c:valAx>
      <c:valAx>
        <c:axId val="933710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933690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72.679080637323068</c:v>
                </c:pt>
              </c:numCache>
            </c:numRef>
          </c:xVal>
          <c:yVal>
            <c:numRef>
              <c:f>'Diagram Data'!$F$29</c:f>
              <c:numCache>
                <c:formatCode>0.00</c:formatCode>
                <c:ptCount val="1"/>
                <c:pt idx="0">
                  <c:v>634.56396415688346</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94737536"/>
        <c:axId val="94739456"/>
      </c:scatterChart>
      <c:valAx>
        <c:axId val="9473753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94739456"/>
        <c:crosses val="autoZero"/>
        <c:crossBetween val="midCat"/>
      </c:valAx>
      <c:valAx>
        <c:axId val="9473945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9473753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36.983772679583986</c:v>
                </c:pt>
              </c:numCache>
            </c:numRef>
          </c:xVal>
          <c:yVal>
            <c:numRef>
              <c:f>'Diagram Data'!$F$33</c:f>
              <c:numCache>
                <c:formatCode>0.00</c:formatCode>
                <c:ptCount val="1"/>
                <c:pt idx="0">
                  <c:v>96.230761516714679</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94459392"/>
        <c:axId val="94461312"/>
      </c:scatterChart>
      <c:valAx>
        <c:axId val="9445939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94461312"/>
        <c:crosses val="autoZero"/>
        <c:crossBetween val="midCat"/>
      </c:valAx>
      <c:valAx>
        <c:axId val="9446131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9445939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72.97449502190959</c:v>
                </c:pt>
                <c:pt idx="1">
                  <c:v>72.004735892546321</c:v>
                </c:pt>
                <c:pt idx="2">
                  <c:v>69.269618417514693</c:v>
                </c:pt>
                <c:pt idx="3">
                  <c:v>65.495902179751198</c:v>
                </c:pt>
                <c:pt idx="4">
                  <c:v>61.710537415612315</c:v>
                </c:pt>
                <c:pt idx="5">
                  <c:v>58.960892618176487</c:v>
                </c:pt>
                <c:pt idx="6">
                  <c:v>57.99550814498636</c:v>
                </c:pt>
                <c:pt idx="7">
                  <c:v>59.034911345774006</c:v>
                </c:pt>
                <c:pt idx="8">
                  <c:v>61.765640186821173</c:v>
                </c:pt>
                <c:pt idx="9">
                  <c:v>65.47010256116917</c:v>
                </c:pt>
                <c:pt idx="10">
                  <c:v>69.187623893214905</c:v>
                </c:pt>
                <c:pt idx="11">
                  <c:v>71.936814746877431</c:v>
                </c:pt>
                <c:pt idx="12">
                  <c:v>72.97449502190959</c:v>
                </c:pt>
                <c:pt idx="13">
                  <c:v>72.004735892546321</c:v>
                </c:pt>
                <c:pt idx="14">
                  <c:v>69.269618417514678</c:v>
                </c:pt>
                <c:pt idx="15">
                  <c:v>65.495902179751212</c:v>
                </c:pt>
                <c:pt idx="16">
                  <c:v>61.710537415612322</c:v>
                </c:pt>
                <c:pt idx="17">
                  <c:v>58.960892618176487</c:v>
                </c:pt>
                <c:pt idx="18">
                  <c:v>57.99550814498636</c:v>
                </c:pt>
                <c:pt idx="19">
                  <c:v>59.034911345774006</c:v>
                </c:pt>
                <c:pt idx="20">
                  <c:v>61.765640186821173</c:v>
                </c:pt>
                <c:pt idx="21">
                  <c:v>65.47010256116917</c:v>
                </c:pt>
                <c:pt idx="22">
                  <c:v>69.187623893214891</c:v>
                </c:pt>
                <c:pt idx="23">
                  <c:v>71.936814746877445</c:v>
                </c:pt>
                <c:pt idx="24">
                  <c:v>72.97449502190959</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57.67718637122374</c:v>
                </c:pt>
                <c:pt idx="1">
                  <c:v>58.525601112895735</c:v>
                </c:pt>
                <c:pt idx="2">
                  <c:v>61.155686240660827</c:v>
                </c:pt>
                <c:pt idx="3">
                  <c:v>64.862712568509224</c:v>
                </c:pt>
                <c:pt idx="4">
                  <c:v>68.65338538557306</c:v>
                </c:pt>
                <c:pt idx="5">
                  <c:v>71.511996971749483</c:v>
                </c:pt>
                <c:pt idx="6">
                  <c:v>72.672584661048234</c:v>
                </c:pt>
                <c:pt idx="7">
                  <c:v>71.824169919376246</c:v>
                </c:pt>
                <c:pt idx="8">
                  <c:v>69.194084791611161</c:v>
                </c:pt>
                <c:pt idx="9">
                  <c:v>65.48705846376275</c:v>
                </c:pt>
                <c:pt idx="10">
                  <c:v>61.696385646698907</c:v>
                </c:pt>
                <c:pt idx="11">
                  <c:v>58.837774060522491</c:v>
                </c:pt>
                <c:pt idx="12">
                  <c:v>57.67718637122374</c:v>
                </c:pt>
                <c:pt idx="13">
                  <c:v>58.525601112895735</c:v>
                </c:pt>
                <c:pt idx="14">
                  <c:v>61.155686240660827</c:v>
                </c:pt>
                <c:pt idx="15">
                  <c:v>64.862712568509224</c:v>
                </c:pt>
                <c:pt idx="16">
                  <c:v>68.65338538557306</c:v>
                </c:pt>
                <c:pt idx="17">
                  <c:v>71.511996971749483</c:v>
                </c:pt>
                <c:pt idx="18">
                  <c:v>72.672584661048234</c:v>
                </c:pt>
                <c:pt idx="19">
                  <c:v>71.824169919376232</c:v>
                </c:pt>
                <c:pt idx="20">
                  <c:v>69.194084791611147</c:v>
                </c:pt>
                <c:pt idx="21">
                  <c:v>65.48705846376275</c:v>
                </c:pt>
                <c:pt idx="22">
                  <c:v>61.696385646698914</c:v>
                </c:pt>
                <c:pt idx="23">
                  <c:v>58.837774060522491</c:v>
                </c:pt>
                <c:pt idx="24">
                  <c:v>57.67718637122374</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0.28551873349156193</c:v>
                </c:pt>
              </c:numCache>
            </c:numRef>
          </c:xVal>
          <c:yVal>
            <c:numRef>
              <c:f>'Payload Input'!$J$89</c:f>
              <c:numCache>
                <c:formatCode>General</c:formatCode>
                <c:ptCount val="1"/>
                <c:pt idx="0">
                  <c:v>72.974867174213884</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91.192090218387634</c:v>
                </c:pt>
              </c:numCache>
            </c:numRef>
          </c:xVal>
          <c:yVal>
            <c:numRef>
              <c:f>'Payload Input'!$K$90</c:f>
              <c:numCache>
                <c:formatCode>General</c:formatCode>
                <c:ptCount val="1"/>
                <c:pt idx="0">
                  <c:v>72.679080637323068</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36.983772679583986</c:v>
                </c:pt>
              </c:numCache>
            </c:numRef>
          </c:yVal>
          <c:smooth val="1"/>
        </c:ser>
        <c:dLbls>
          <c:showLegendKey val="0"/>
          <c:showVal val="0"/>
          <c:showCatName val="0"/>
          <c:showSerName val="0"/>
          <c:showPercent val="0"/>
          <c:showBubbleSize val="0"/>
        </c:dLbls>
        <c:axId val="93771264"/>
        <c:axId val="93773184"/>
      </c:scatterChart>
      <c:valAx>
        <c:axId val="93771264"/>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93773184"/>
        <c:crosses val="autoZero"/>
        <c:crossBetween val="midCat"/>
      </c:valAx>
      <c:valAx>
        <c:axId val="93773184"/>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93771264"/>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5447296"/>
        <c:axId val="95457280"/>
      </c:scatterChart>
      <c:valAx>
        <c:axId val="95447296"/>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5457280"/>
        <c:crosses val="autoZero"/>
        <c:crossBetween val="midCat"/>
      </c:valAx>
      <c:valAx>
        <c:axId val="95457280"/>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5447296"/>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7" sqref="G7:H7"/>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4040</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150</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-5.150354E-2</v>
      </c>
      <c r="F13" s="785" t="s">
        <v>3913</v>
      </c>
      <c r="G13" s="151"/>
      <c r="H13" s="170" t="str">
        <f>'Wrist Load Analysis'!R16</f>
        <v>OK</v>
      </c>
    </row>
    <row r="14" spans="1:8" ht="13.5" thickBot="1">
      <c r="B14" s="163" t="str">
        <f>HLOOKUP(Anal_Payload_Code,Unit_text,5)</f>
        <v>Payload Center Y (m)</v>
      </c>
      <c r="C14" s="338">
        <v>-4.040796E-2</v>
      </c>
      <c r="F14" s="786" t="s">
        <v>3914</v>
      </c>
      <c r="G14" s="70"/>
      <c r="H14" s="443" t="str">
        <f>'Wrist Load Analysis'!R17</f>
        <v>OK</v>
      </c>
    </row>
    <row r="15" spans="1:8">
      <c r="B15" s="163" t="str">
        <f>IF(Axis_Type=1,"--------------------------------",HLOOKUP(Anal_Payload_Code,Unit_text,6))</f>
        <v>Payload Center Z (m)</v>
      </c>
      <c r="C15" s="338">
        <v>0.19168360000000001</v>
      </c>
      <c r="F15" s="444"/>
      <c r="G15" s="169"/>
      <c r="H15" s="169"/>
    </row>
    <row r="16" spans="1:8">
      <c r="A16" s="264"/>
      <c r="B16" s="163" t="str">
        <f>HLOOKUP(Anal_Payload_Code,Unit_text,7)</f>
        <v>Payload Inertia Ix (Kg.m^2)</v>
      </c>
      <c r="C16" s="338">
        <v>45.118830000000003</v>
      </c>
      <c r="E16" s="264"/>
      <c r="F16" s="5"/>
      <c r="G16" s="151"/>
      <c r="H16" s="151"/>
    </row>
    <row r="17" spans="1:8" ht="13.5" thickBot="1">
      <c r="B17" s="265" t="str">
        <f>HLOOKUP(Anal_Payload_Code,Unit_text,8)</f>
        <v>Payload Inertia Iy (Kg.m^2)</v>
      </c>
      <c r="C17" s="339">
        <v>29.970459999999999</v>
      </c>
      <c r="D17" s="264"/>
      <c r="F17" s="12"/>
      <c r="G17" s="263"/>
      <c r="H17" s="263"/>
    </row>
    <row r="18" spans="1:8" ht="16.149999999999999" customHeight="1" thickBot="1">
      <c r="B18" s="412" t="str">
        <f>IF(Axis_Type=1,"--------------------------------",HLOOKUP(Anal_Payload_Code,Unit_text,9))</f>
        <v>Payload Inertia Iz (Kg.m^2)</v>
      </c>
      <c r="C18" s="548">
        <v>36.340960000000003</v>
      </c>
      <c r="F18" s="780" t="s">
        <v>3956</v>
      </c>
      <c r="G18" s="168"/>
      <c r="H18" s="167"/>
    </row>
    <row r="19" spans="1:8" ht="16.5" thickBot="1">
      <c r="A19" s="264"/>
      <c r="C19" s="192"/>
      <c r="D19" s="192"/>
      <c r="E19" s="264"/>
      <c r="F19" s="789" t="s">
        <v>4037</v>
      </c>
      <c r="G19" s="171"/>
      <c r="H19" s="325">
        <f>'Wrist Load Analysis'!R20</f>
        <v>69.399999999999991</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150</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47</v>
      </c>
    </row>
    <row r="23" spans="1:8">
      <c r="B23" s="785" t="s">
        <v>3942</v>
      </c>
      <c r="C23" s="336">
        <f>VLOOKUP('Misc Data'!$B$26,Table1,6)</f>
        <v>1333</v>
      </c>
      <c r="D23" s="365">
        <f>'Wrist Load Analysis'!R7</f>
        <v>634.56396415688346</v>
      </c>
      <c r="F23" s="785" t="s">
        <v>3959</v>
      </c>
      <c r="G23" s="380"/>
      <c r="H23" s="442">
        <f>'Wrist Load Analysis'!R23</f>
        <v>47</v>
      </c>
    </row>
    <row r="24" spans="1:8" ht="13.5" thickBot="1">
      <c r="A24" s="264"/>
      <c r="B24" s="785" t="s">
        <v>3943</v>
      </c>
      <c r="C24" s="336">
        <f>VLOOKUP('Misc Data'!$B$26,Table1,7)</f>
        <v>1333</v>
      </c>
      <c r="D24" s="365">
        <f>'Wrist Load Analysis'!R8</f>
        <v>634.56396415688346</v>
      </c>
      <c r="E24" s="264"/>
      <c r="F24" s="786" t="s">
        <v>3960</v>
      </c>
      <c r="G24" s="381"/>
      <c r="H24" s="327">
        <f>IF(Axis_Count=1,"-",'Wrist Load Analysis'!R24)</f>
        <v>13</v>
      </c>
    </row>
    <row r="25" spans="1:8">
      <c r="A25" s="264"/>
      <c r="B25" s="785" t="s">
        <v>3944</v>
      </c>
      <c r="C25" s="336">
        <f>VLOOKUP('Misc Data'!$B$26,Table1,8)</f>
        <v>706</v>
      </c>
      <c r="D25" s="365">
        <f>IF(Axis_Count=1,"-",'Wrist Load Analysis'!R9)</f>
        <v>96.230761516714679</v>
      </c>
      <c r="E25" s="264"/>
      <c r="F25" s="791" t="s">
        <v>3961</v>
      </c>
      <c r="G25" s="172"/>
      <c r="H25" s="363"/>
    </row>
    <row r="26" spans="1:8">
      <c r="A26" s="264"/>
      <c r="B26" s="785" t="s">
        <v>3945</v>
      </c>
      <c r="C26" s="336">
        <f>VLOOKUP('Misc Data'!$B$26,Table1,9)</f>
        <v>141.1</v>
      </c>
      <c r="D26" s="365">
        <f>'Wrist Load Analysis'!R10</f>
        <v>72.974867174213884</v>
      </c>
      <c r="E26" s="264"/>
      <c r="F26" s="785" t="s">
        <v>3958</v>
      </c>
      <c r="G26" s="266"/>
      <c r="H26" s="326">
        <f>'Wrist Load Analysis'!R26</f>
        <v>51.800000000000004</v>
      </c>
    </row>
    <row r="27" spans="1:8">
      <c r="A27" s="264"/>
      <c r="B27" s="785" t="s">
        <v>3946</v>
      </c>
      <c r="C27" s="336">
        <f>VLOOKUP('Misc Data'!$B$26,Table1,10)</f>
        <v>141.1</v>
      </c>
      <c r="D27" s="365">
        <f>'Wrist Load Analysis'!R11</f>
        <v>72.679080637323068</v>
      </c>
      <c r="E27" s="264"/>
      <c r="F27" s="785" t="s">
        <v>3959</v>
      </c>
      <c r="G27" s="267"/>
      <c r="H27" s="326">
        <f>'Wrist Load Analysis'!R27</f>
        <v>51.6</v>
      </c>
    </row>
    <row r="28" spans="1:8" ht="13.5" thickBot="1">
      <c r="A28" s="264"/>
      <c r="B28" s="786" t="s">
        <v>3947</v>
      </c>
      <c r="C28" s="544">
        <f>VLOOKUP('Misc Data'!$B$26,Table1,11)</f>
        <v>78.400000000000006</v>
      </c>
      <c r="D28" s="545">
        <f>IF(Axis_Count=1,"-",'Wrist Load Analysis'!R12)</f>
        <v>36.983772679583986</v>
      </c>
      <c r="E28" s="264"/>
      <c r="F28" s="786" t="s">
        <v>3960</v>
      </c>
      <c r="G28" s="268"/>
      <c r="H28" s="327">
        <f>IF(Axis_Count=1,"-",'Wrist Load Analysis'!R28)</f>
        <v>47.2</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F174739</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KJLTVR111220R01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LTVR1</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2 - c/Larguero</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150</v>
      </c>
      <c r="G9" s="355"/>
      <c r="H9" s="345"/>
      <c r="I9" s="345"/>
    </row>
    <row r="10" spans="1:12" ht="13.5">
      <c r="A10" s="345"/>
      <c r="B10" s="353"/>
      <c r="C10" s="356">
        <v>3</v>
      </c>
      <c r="D10" s="354" t="s">
        <v>3756</v>
      </c>
      <c r="E10" s="354" t="str">
        <f>IF($E$22=TRUE,"[m]","[cm]")</f>
        <v>[cm]</v>
      </c>
      <c r="F10" s="357">
        <f>IF(Load_Set_2=FALSE,"-",IF($E$22=TRUE,Load_Set_2/100,Load_Set_2))</f>
        <v>-5.15</v>
      </c>
      <c r="G10" s="355"/>
      <c r="H10" s="345"/>
      <c r="I10" s="345"/>
    </row>
    <row r="11" spans="1:12" ht="13.5">
      <c r="A11" s="345"/>
      <c r="B11" s="353"/>
      <c r="C11" s="356">
        <v>4</v>
      </c>
      <c r="D11" s="354" t="s">
        <v>3011</v>
      </c>
      <c r="E11" s="354" t="str">
        <f>IF($E$22=TRUE,"[m]","[cm]")</f>
        <v>[cm]</v>
      </c>
      <c r="F11" s="357">
        <f>IF(Load_Set_3=FALSE,"-",IF($E$22=TRUE,Load_Set_3/100,Load_Set_3))</f>
        <v>-4.0410000000000004</v>
      </c>
      <c r="G11" s="355"/>
      <c r="H11" s="345"/>
      <c r="I11" s="345"/>
    </row>
    <row r="12" spans="1:12" ht="13.5">
      <c r="A12" s="345"/>
      <c r="B12" s="447"/>
      <c r="C12" s="356">
        <v>5</v>
      </c>
      <c r="D12" s="354" t="s">
        <v>350</v>
      </c>
      <c r="E12" s="354" t="str">
        <f>IF($E$22=TRUE,"[m]","[cm]")</f>
        <v>[cm]</v>
      </c>
      <c r="F12" s="357">
        <f>IF(Load_Set_4=FALSE,"-",IF($E$22=TRUE,Load_Set_4/100,Load_Set_4))</f>
        <v>19.167999999999999</v>
      </c>
      <c r="G12" s="355"/>
      <c r="H12" s="345"/>
      <c r="I12" s="345"/>
    </row>
    <row r="13" spans="1:12" ht="13.5">
      <c r="A13" s="345"/>
      <c r="B13" s="353"/>
      <c r="C13" s="356">
        <v>6</v>
      </c>
      <c r="D13" s="354" t="s">
        <v>1116</v>
      </c>
      <c r="E13" s="354" t="str">
        <f>IF($E$22=TRUE,"[kgm^2]","[kgfcms^2]")</f>
        <v>[kgfcms^2]</v>
      </c>
      <c r="F13" s="357">
        <f>IF(Load_Set_5=FALSE,"-",IF($E$22=TRUE,Load_Set_5*0.098,Load_Set_5))</f>
        <v>460.39600000000002</v>
      </c>
      <c r="G13" s="355"/>
      <c r="H13" s="345"/>
      <c r="I13" s="345"/>
    </row>
    <row r="14" spans="1:12" ht="13.5">
      <c r="A14" s="345"/>
      <c r="B14" s="353"/>
      <c r="C14" s="356">
        <v>7</v>
      </c>
      <c r="D14" s="354" t="s">
        <v>1847</v>
      </c>
      <c r="E14" s="354" t="str">
        <f>IF($E$22=TRUE,"[kgm^2]","[kgfcms^2]")</f>
        <v>[kgfcms^2]</v>
      </c>
      <c r="F14" s="357">
        <f>IF(Load_Set_6=FALSE,"-",IF($E$22=TRUE,Load_Set_6*0.098,Load_Set_6))</f>
        <v>305.82100000000003</v>
      </c>
      <c r="G14" s="355"/>
      <c r="H14" s="345"/>
      <c r="I14" s="345"/>
    </row>
    <row r="15" spans="1:12" ht="13.5">
      <c r="A15" s="345"/>
      <c r="B15" s="353"/>
      <c r="C15" s="356">
        <v>8</v>
      </c>
      <c r="D15" s="354" t="s">
        <v>3012</v>
      </c>
      <c r="E15" s="354" t="str">
        <f>IF($E$22=TRUE,"[kgm^2]","[kgfcms^2]")</f>
        <v>[kgfcms^2]</v>
      </c>
      <c r="F15" s="357">
        <f>IF(Load_Set_7=FALSE,"-",IF($E$22=TRUE,Load_Set_7*0.098,Load_Set_7))</f>
        <v>370.82600000000002</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150</v>
      </c>
      <c r="H6" s="625" t="s">
        <v>2962</v>
      </c>
      <c r="I6" s="551">
        <f>IF((Anal_Payload_Code=1),Anal_Input_1,IF((Anal_Payload_Code=2),Anal_Input_1,0))</f>
        <v>150</v>
      </c>
      <c r="J6" s="551">
        <f>IF((Anal_Payload_Code=1),Anal_Input_1,IF((Anal_Payload_Code=2),Anal_Input_1,0))</f>
        <v>150</v>
      </c>
      <c r="K6" s="551">
        <f>IF((Anal_Payload_Code=1),Anal_Input_1,IF((Anal_Payload_Code=2),Anal_Input_1,0))</f>
        <v>150</v>
      </c>
      <c r="L6" s="7"/>
    </row>
    <row r="7" spans="2:18">
      <c r="B7" s="8" t="s">
        <v>2963</v>
      </c>
      <c r="C7" s="626">
        <f t="shared" ref="C7:C12" si="0">IF(Anal_Robot_Code=10105,J7,IF(Anal_Robot_Code=10112,J7,IF(Anal_Robot_Code=10111,K7,I7)))</f>
        <v>-5.150354E-2</v>
      </c>
      <c r="D7" s="290"/>
      <c r="E7" s="290"/>
      <c r="H7" s="8" t="s">
        <v>2963</v>
      </c>
      <c r="I7" s="551">
        <f>IF((Anal_Payload_Code=1),Anal_Input_2,IF((Anal_Payload_Code=2),Anal_Input_2*0.01,0))</f>
        <v>-5.150354E-2</v>
      </c>
      <c r="J7" s="552">
        <f>(0.007+L9)*SIN(RADIANS(30))+L7*COS(RADIANS(30))</f>
        <v>5.4738425975172006E-2</v>
      </c>
      <c r="K7" s="552">
        <f>(0.01+L9)*SIN(RADIANS(30))+L7*COS(RADIANS(30))</f>
        <v>5.6238425975172007E-2</v>
      </c>
      <c r="L7" s="439">
        <f>IF((Anal_Payload_Code=1),Anal_Input_2,IF((Anal_Payload_Code=2),Anal_Input_2*0.01,0))</f>
        <v>-5.150354E-2</v>
      </c>
    </row>
    <row r="8" spans="2:18">
      <c r="B8" s="8" t="s">
        <v>2964</v>
      </c>
      <c r="C8" s="626">
        <f t="shared" si="0"/>
        <v>-4.040796E-2</v>
      </c>
      <c r="D8" s="290"/>
      <c r="E8" s="290"/>
      <c r="H8" s="8" t="s">
        <v>2964</v>
      </c>
      <c r="I8" s="551">
        <f>IF((Anal_Payload_Code=1),Anal_Input_3,IF((Anal_Payload_Code=2),Anal_Input_3*0.01,0))</f>
        <v>-4.040796E-2</v>
      </c>
      <c r="J8" s="551">
        <f>IF((Anal_Payload_Code=1),Anal_Input_3,IF((Anal_Payload_Code=2),Anal_Input_3*0.01,0))</f>
        <v>-4.040796E-2</v>
      </c>
      <c r="K8" s="551">
        <f>IF((Anal_Payload_Code=1),Anal_Input_3,IF((Anal_Payload_Code=2),Anal_Input_3*0.01,0))</f>
        <v>-4.040796E-2</v>
      </c>
      <c r="L8" s="7"/>
    </row>
    <row r="9" spans="2:18">
      <c r="B9" s="8" t="s">
        <v>840</v>
      </c>
      <c r="C9" s="626">
        <f t="shared" si="0"/>
        <v>0.19168360000000001</v>
      </c>
      <c r="D9" s="290"/>
      <c r="E9" s="290"/>
      <c r="H9" s="8" t="s">
        <v>840</v>
      </c>
      <c r="I9" s="551">
        <f>IF((Anal_Payload_Code=1),Anal_Input_4,IF((Anal_Payload_Code=2),Anal_Input_4*0.01,0))</f>
        <v>0.19168360000000001</v>
      </c>
      <c r="J9" s="552">
        <f>(0.007+L9)*COS(RADIANS(30))-L7*SIN(RADIANS(30))</f>
        <v>0.19781681491534592</v>
      </c>
      <c r="K9" s="552">
        <f>(0.01+L9)*COS(RADIANS(30))-L7*SIN(RADIANS(30))</f>
        <v>0.20041489112669925</v>
      </c>
      <c r="L9" s="439">
        <f>IF((Anal_Payload_Code=1),Anal_Input_4,IF((Anal_Payload_Code=2),Anal_Input_4*0.01,0))</f>
        <v>0.19168360000000001</v>
      </c>
    </row>
    <row r="10" spans="2:18">
      <c r="B10" s="8" t="s">
        <v>2965</v>
      </c>
      <c r="C10" s="626">
        <f t="shared" si="0"/>
        <v>45.118830000000003</v>
      </c>
      <c r="D10" s="290"/>
      <c r="E10" s="290"/>
      <c r="H10" s="8" t="s">
        <v>2965</v>
      </c>
      <c r="I10" s="551">
        <f>IF((Anal_Payload_Code=1),Anal_Input_5,IF((Anal_Payload_Code=2),Anal_Input_5*0.098,0))</f>
        <v>45.118830000000003</v>
      </c>
      <c r="J10" s="552">
        <f>L10*(COS(RADIANS(30)))^2+L12*(SIN(RADIANS(30)))^2</f>
        <v>42.924362500000008</v>
      </c>
      <c r="K10" s="552">
        <f>L10*(COS(RADIANS(30)))^2+L12*(SIN(RADIANS(30)))^2</f>
        <v>42.924362500000008</v>
      </c>
      <c r="L10" s="439">
        <f>IF((Anal_Payload_Code=1),Anal_Input_5,IF((Anal_Payload_Code=2),Anal_Input_5*0.098,0))</f>
        <v>45.118830000000003</v>
      </c>
    </row>
    <row r="11" spans="2:18">
      <c r="B11" s="8" t="s">
        <v>2362</v>
      </c>
      <c r="C11" s="626">
        <f t="shared" si="0"/>
        <v>29.970459999999999</v>
      </c>
      <c r="D11" s="290"/>
      <c r="E11" s="290"/>
      <c r="H11" s="8" t="s">
        <v>2362</v>
      </c>
      <c r="I11" s="551">
        <f>IF((Anal_Payload_Code=1),Anal_Input_6,IF((Anal_Payload_Code=2),Anal_Input_6*0.098,0))</f>
        <v>29.970459999999999</v>
      </c>
      <c r="J11" s="551">
        <f>IF((Anal_Payload_Code=1),Anal_Input_6,IF((Anal_Payload_Code=2),Anal_Input_6*0.098,0))</f>
        <v>29.970459999999999</v>
      </c>
      <c r="K11" s="551">
        <f>IF((Anal_Payload_Code=1),Anal_Input_6,IF((Anal_Payload_Code=2),Anal_Input_6*0.098,0))</f>
        <v>29.970459999999999</v>
      </c>
      <c r="L11" s="7"/>
    </row>
    <row r="12" spans="2:18">
      <c r="B12" s="8" t="s">
        <v>2363</v>
      </c>
      <c r="C12" s="626">
        <f t="shared" si="0"/>
        <v>36.340960000000003</v>
      </c>
      <c r="D12" s="290"/>
      <c r="E12" s="290"/>
      <c r="H12" s="8" t="s">
        <v>2363</v>
      </c>
      <c r="I12" s="551">
        <f>IF((Anal_Payload_Code=1),Anal_Input_7,IF((Anal_Payload_Code=2),Anal_Input_7*0.098,0))</f>
        <v>36.340960000000003</v>
      </c>
      <c r="J12" s="552">
        <f>L12*(COS(RADIANS(30)))^2+L10*(SIN(RADIANS(30)))^2</f>
        <v>38.535427500000004</v>
      </c>
      <c r="K12" s="552">
        <f>L12*(COS(RADIANS(30)))^2+L10*(SIN(RADIANS(30)))^2</f>
        <v>38.535427500000004</v>
      </c>
      <c r="L12" s="439">
        <f>IF((Anal_Payload_Code=1),Anal_Input_7,IF((Anal_Payload_Code=2),Anal_Input_7*0.098,0))</f>
        <v>36.340960000000003</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150</v>
      </c>
      <c r="Y18" s="634"/>
    </row>
    <row r="19" spans="2:27" s="625" customFormat="1" ht="15" thickBot="1">
      <c r="B19" s="635"/>
      <c r="C19" s="631" t="s">
        <v>1863</v>
      </c>
      <c r="D19" s="632" t="s">
        <v>1861</v>
      </c>
      <c r="E19" s="633">
        <f t="shared" ref="E19:E24" si="1">C7</f>
        <v>-5.150354E-2</v>
      </c>
      <c r="Y19" s="634"/>
    </row>
    <row r="20" spans="2:27" s="625" customFormat="1" ht="15" thickBot="1">
      <c r="B20" s="636" t="s">
        <v>3276</v>
      </c>
      <c r="C20" s="631" t="s">
        <v>3277</v>
      </c>
      <c r="D20" s="632" t="s">
        <v>1861</v>
      </c>
      <c r="E20" s="633">
        <f t="shared" si="1"/>
        <v>-4.040796E-2</v>
      </c>
      <c r="Y20" s="634"/>
    </row>
    <row r="21" spans="2:27" s="625" customFormat="1" ht="15" thickBot="1">
      <c r="B21" s="637"/>
      <c r="C21" s="631" t="s">
        <v>3278</v>
      </c>
      <c r="D21" s="632" t="s">
        <v>1861</v>
      </c>
      <c r="E21" s="633">
        <f t="shared" si="1"/>
        <v>0.19168360000000001</v>
      </c>
      <c r="Y21" s="634"/>
    </row>
    <row r="22" spans="2:27" s="625" customFormat="1" ht="15" thickBot="1">
      <c r="B22" s="638"/>
      <c r="C22" s="631" t="s">
        <v>3279</v>
      </c>
      <c r="D22" s="632" t="s">
        <v>3280</v>
      </c>
      <c r="E22" s="633">
        <f t="shared" si="1"/>
        <v>45.118830000000003</v>
      </c>
      <c r="Y22" s="634"/>
      <c r="AA22" s="639"/>
    </row>
    <row r="23" spans="2:27" s="625" customFormat="1" ht="15" thickBot="1">
      <c r="B23" s="636" t="s">
        <v>3281</v>
      </c>
      <c r="C23" s="631" t="s">
        <v>3282</v>
      </c>
      <c r="D23" s="632" t="s">
        <v>3280</v>
      </c>
      <c r="E23" s="633">
        <f t="shared" si="1"/>
        <v>29.970459999999999</v>
      </c>
      <c r="Y23" s="634"/>
    </row>
    <row r="24" spans="2:27" s="625" customFormat="1" ht="15" thickBot="1">
      <c r="B24" s="640"/>
      <c r="C24" s="631" t="s">
        <v>3283</v>
      </c>
      <c r="D24" s="632" t="s">
        <v>3280</v>
      </c>
      <c r="E24" s="633">
        <f t="shared" si="1"/>
        <v>36.340960000000003</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634.56396415688346</v>
      </c>
      <c r="F31" s="643">
        <f>SQRT((SQRT($E$19^2+$E$20^2)+SQRT(($E$27+$E$28*COS($P$31*PI()/180))^2+$E$28^2*SIN($P$31*PI()/180)^2))^2+($E$21+$E$26)^2)</f>
        <v>0.43167616609311799</v>
      </c>
      <c r="H31" s="646" t="s">
        <v>2365</v>
      </c>
      <c r="I31" s="646" t="s">
        <v>19</v>
      </c>
      <c r="N31" s="652" t="s">
        <v>20</v>
      </c>
      <c r="O31" s="641"/>
      <c r="P31" s="633">
        <v>90</v>
      </c>
    </row>
    <row r="32" spans="2:27" s="625" customFormat="1" ht="14.25">
      <c r="B32" s="650" t="s">
        <v>21</v>
      </c>
      <c r="C32" s="649" t="s">
        <v>1618</v>
      </c>
      <c r="D32" s="643" t="s">
        <v>22</v>
      </c>
      <c r="E32" s="651">
        <f>$E$18*9.8*F32</f>
        <v>634.56396415688346</v>
      </c>
      <c r="F32" s="643">
        <f>SQRT((SQRT($E$19^2+$E$20^2)+$E$28*SIN($P$31*PI()/180))^2+($E$21+$E$26)^2)</f>
        <v>0.43167616609311799</v>
      </c>
      <c r="H32" s="646" t="s">
        <v>2366</v>
      </c>
      <c r="I32" s="646" t="s">
        <v>2162</v>
      </c>
      <c r="N32" s="646" t="s">
        <v>2163</v>
      </c>
    </row>
    <row r="33" spans="1:28" s="625" customFormat="1">
      <c r="B33" s="653"/>
      <c r="C33" s="649" t="s">
        <v>270</v>
      </c>
      <c r="D33" s="643" t="s">
        <v>2164</v>
      </c>
      <c r="E33" s="651">
        <f>$E$18*9.8*F33</f>
        <v>96.230761516714679</v>
      </c>
      <c r="F33" s="643">
        <f>SQRT($E$19^2+$E$20^2)</f>
        <v>6.5463103072595022E-2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72.974867174213884</v>
      </c>
      <c r="F36" s="643">
        <f>$E$18*$F31^2+MAX($E$22:$E$24)</f>
        <v>73.070476855927978</v>
      </c>
      <c r="G36" s="654" t="s">
        <v>2181</v>
      </c>
      <c r="H36" s="655">
        <f>$J$43</f>
        <v>72.97449502190959</v>
      </c>
      <c r="I36" s="655">
        <f>$J$89</f>
        <v>72.974867174213884</v>
      </c>
      <c r="J36" s="643">
        <f>$N$89</f>
        <v>-84.787396801414616</v>
      </c>
      <c r="K36" s="643">
        <f>$B$89</f>
        <v>0.28551873349156193</v>
      </c>
    </row>
    <row r="37" spans="1:28" s="625" customFormat="1" ht="14.25">
      <c r="B37" s="650" t="s">
        <v>2182</v>
      </c>
      <c r="C37" s="649" t="s">
        <v>1618</v>
      </c>
      <c r="D37" s="643" t="s">
        <v>2180</v>
      </c>
      <c r="E37" s="651">
        <f>MAX(H37:I37)</f>
        <v>72.679080637323068</v>
      </c>
      <c r="F37" s="643">
        <f>$E$18*$F32^2+MAX($E$22:$E$23)</f>
        <v>73.070476855927978</v>
      </c>
      <c r="G37" s="655">
        <f>IF(E28=0,SQRT((E18*E19^2-E18*E20^2-E22+E23)^2/4+(E18*E19*E20)^2)+(E18*E19^2+E18*E20^2+E22+E23)/2+E18*(E21+E26)^2,"---")</f>
        <v>72.679080637323068</v>
      </c>
      <c r="H37" s="655">
        <f>$K$44</f>
        <v>72.672584661048234</v>
      </c>
      <c r="I37" s="655">
        <f>$K$90</f>
        <v>72.679080637323068</v>
      </c>
      <c r="J37" s="654" t="s">
        <v>2181</v>
      </c>
      <c r="K37" s="654">
        <f>$B$90</f>
        <v>91.192090218387634</v>
      </c>
    </row>
    <row r="38" spans="1:28" s="625" customFormat="1">
      <c r="B38" s="653"/>
      <c r="C38" s="649" t="s">
        <v>270</v>
      </c>
      <c r="D38" s="643" t="s">
        <v>2180</v>
      </c>
      <c r="E38" s="651">
        <f>G38</f>
        <v>36.983772679583986</v>
      </c>
      <c r="F38" s="643">
        <f>$E$18*$F33^2+$E$24</f>
        <v>36.983772679583986</v>
      </c>
      <c r="G38" s="655">
        <f>$E$18*($E$19^2+$E$20^2)+$E$24</f>
        <v>36.983772679583986</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72.97449502190959</v>
      </c>
    </row>
    <row r="44" spans="1:28" s="625" customFormat="1" ht="14.25">
      <c r="B44" s="629" t="s">
        <v>2905</v>
      </c>
      <c r="I44" s="658" t="s">
        <v>2906</v>
      </c>
      <c r="J44" s="643">
        <f>MAX(J46:J70)</f>
        <v>72.97449502190959</v>
      </c>
      <c r="K44" s="643">
        <f>MAX(K46:K70)</f>
        <v>72.672584661048234</v>
      </c>
      <c r="L44" s="659">
        <f>MAX(L46:L70)</f>
        <v>72.672584661048234</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-5.150354E-2</v>
      </c>
      <c r="D46" s="643">
        <f t="shared" ref="D46:D70" si="3">$E$19*SIN(B46*PI()/180)+$E$20*COS(B46*PI()/180)</f>
        <v>-4.040796E-2</v>
      </c>
      <c r="E46" s="643">
        <f t="shared" ref="E46:E70" si="4">$E$22*COS(B46*PI()/180)^2+$E$23*SIN(B46*PI()/180)^2</f>
        <v>45.118830000000003</v>
      </c>
      <c r="F46" s="643">
        <f t="shared" ref="F46:F70" si="5">$E$22*SIN(B46*PI()/180)^2+$E$23*COS(B46*PI()/180)^2</f>
        <v>29.970459999999999</v>
      </c>
      <c r="G46" s="643">
        <f t="shared" ref="G46:G70" si="6">($E$18*(C46+$E$28)^2-$E$18*($E$21+$E$26)^2+$E$24-E46)/2</f>
        <v>-17.844405990732128</v>
      </c>
      <c r="H46" s="643">
        <f t="shared" ref="H46:H70" si="7">$E$18*(C46+$E$28)*($E$21+$E$26)</f>
        <v>-3.2963573789915999</v>
      </c>
      <c r="I46" s="643">
        <f t="shared" ref="I46:I70" si="8">$E$18*((C46+$E$28)^2+($E$21+$E$26)^2)/2+$E$18*(D46+$E$27)^2+($E$24+E46)/2</f>
        <v>54.828178670316106</v>
      </c>
      <c r="J46" s="643">
        <f>SQRT(G46^2+H46^2)+I46</f>
        <v>72.97449502190959</v>
      </c>
      <c r="K46" s="643">
        <f t="shared" ref="K46:K70" si="9">$E$18*((C46+$E$28)^2+($E$21+$E$26)^2)+F46</f>
        <v>57.67718637122374</v>
      </c>
      <c r="L46" s="670">
        <f t="shared" ref="L46:L70" si="10">$E$18*((D46+$E$28)^2+($E$21+$E$26)^2)+E46</f>
        <v>72.672584661048234</v>
      </c>
      <c r="M46" s="671"/>
      <c r="N46" s="638">
        <f>O53*180/PI()-INT(O53*180/PI()/360)*360</f>
        <v>91.192090218387634</v>
      </c>
      <c r="O46" s="643">
        <f>INDEX($B46:$B72,MATCH(K44,K46:K70,0))</f>
        <v>90</v>
      </c>
      <c r="P46" s="643">
        <f>($E$18*$E$19^2-$E$18*$E$20^2+$E$23-$E$22)/2</f>
        <v>-7.4976991449122519</v>
      </c>
      <c r="Q46" s="643">
        <f>-$E$18*$E$19*$E$20</f>
        <v>-0.31217294762676001</v>
      </c>
      <c r="R46" s="672" t="s">
        <v>1320</v>
      </c>
      <c r="T46" s="673"/>
      <c r="U46" s="674" t="s">
        <v>1321</v>
      </c>
      <c r="V46" s="675"/>
      <c r="W46" s="675"/>
      <c r="X46" s="675"/>
      <c r="Y46" s="675"/>
      <c r="Z46" s="675"/>
      <c r="AA46" s="675"/>
      <c r="AB46" s="676"/>
    </row>
    <row r="47" spans="1:28" s="625" customFormat="1">
      <c r="A47" s="643">
        <f>A46+1</f>
        <v>1</v>
      </c>
      <c r="B47" s="643">
        <f>B46+15</f>
        <v>15</v>
      </c>
      <c r="C47" s="643">
        <f t="shared" si="2"/>
        <v>-3.9290249809571229E-2</v>
      </c>
      <c r="D47" s="643">
        <f t="shared" si="3"/>
        <v>-5.2361189193855101E-2</v>
      </c>
      <c r="E47" s="643">
        <f t="shared" si="4"/>
        <v>44.104081622963044</v>
      </c>
      <c r="F47" s="643">
        <f t="shared" si="5"/>
        <v>30.985208377036962</v>
      </c>
      <c r="G47" s="643">
        <f t="shared" si="6"/>
        <v>-17.42019861989613</v>
      </c>
      <c r="H47" s="643">
        <f t="shared" si="7"/>
        <v>-2.5146757850470749</v>
      </c>
      <c r="I47" s="643">
        <f t="shared" si="8"/>
        <v>54.403971299480112</v>
      </c>
      <c r="J47" s="643">
        <f t="shared" ref="J47:J70" si="11">SQRT(G47^2+H47^2)+I47</f>
        <v>72.004735892546321</v>
      </c>
      <c r="K47" s="643">
        <f t="shared" si="9"/>
        <v>58.525601112895735</v>
      </c>
      <c r="L47" s="670">
        <f t="shared" si="10"/>
        <v>71.824169919376246</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-2.4399394024827992E-2</v>
      </c>
      <c r="D48" s="643">
        <f t="shared" si="3"/>
        <v>-6.074608987510545E-2</v>
      </c>
      <c r="E48" s="643">
        <f t="shared" si="4"/>
        <v>41.33173750000001</v>
      </c>
      <c r="F48" s="643">
        <f t="shared" si="5"/>
        <v>33.757552500000003</v>
      </c>
      <c r="G48" s="643">
        <f t="shared" si="6"/>
        <v>-16.105156056013591</v>
      </c>
      <c r="H48" s="643">
        <f t="shared" si="7"/>
        <v>-1.5616231920498145</v>
      </c>
      <c r="I48" s="643">
        <f t="shared" si="8"/>
        <v>53.088928735597577</v>
      </c>
      <c r="J48" s="643">
        <f t="shared" si="11"/>
        <v>69.269618417514693</v>
      </c>
      <c r="K48" s="643">
        <f t="shared" si="9"/>
        <v>61.155686240660827</v>
      </c>
      <c r="L48" s="670">
        <f t="shared" si="10"/>
        <v>69.194084791611175</v>
      </c>
      <c r="M48" s="671"/>
      <c r="N48" s="643">
        <v>1</v>
      </c>
      <c r="O48" s="643">
        <f>O46*PI()/180</f>
        <v>1.5707963267948966</v>
      </c>
      <c r="P48" s="643">
        <f t="shared" ref="P48:P53" si="14">-2*$P$46*SIN(2*O48)+2*$Q$46*COS(2*O48)+2*$E$18*$E$28*(-$E$19*SIN(O48)-$E$20*COS(O48))</f>
        <v>0.62434589525352191</v>
      </c>
      <c r="Q48" s="643">
        <f t="shared" ref="Q48:Q53" si="15">-4*$P$46*COS(2*O48)-4*$Q$46*SIN(2*O48)+2*$E$18*$E$28*(-$E$19*COS(O48)+$E$20*SIN(O48))</f>
        <v>-29.990796579649007</v>
      </c>
      <c r="R48" s="643">
        <f t="shared" ref="R48:R53" si="16">IF(Q48=0,O48,O48-P48/Q48)</f>
        <v>1.5916142431711888</v>
      </c>
      <c r="T48" s="673"/>
      <c r="U48" s="674" t="s">
        <v>2383</v>
      </c>
      <c r="V48" s="675"/>
      <c r="W48" s="675"/>
      <c r="X48" s="675"/>
      <c r="Y48" s="675"/>
      <c r="Z48" s="675"/>
      <c r="AA48" s="675"/>
      <c r="AB48" s="676"/>
    </row>
    <row r="49" spans="1:28" s="625" customFormat="1">
      <c r="A49" s="643">
        <f t="shared" si="12"/>
        <v>3</v>
      </c>
      <c r="B49" s="643">
        <f t="shared" si="13"/>
        <v>45</v>
      </c>
      <c r="C49" s="643">
        <f t="shared" si="2"/>
        <v>-7.8457598591978386E-3</v>
      </c>
      <c r="D49" s="643">
        <f t="shared" si="3"/>
        <v>-6.4991244919027358E-2</v>
      </c>
      <c r="E49" s="643">
        <f t="shared" si="4"/>
        <v>37.544645000000003</v>
      </c>
      <c r="F49" s="643">
        <f t="shared" si="5"/>
        <v>37.544645000000003</v>
      </c>
      <c r="G49" s="643">
        <f t="shared" si="6"/>
        <v>-14.251642892089384</v>
      </c>
      <c r="H49" s="643">
        <f t="shared" si="7"/>
        <v>-0.50214855921870405</v>
      </c>
      <c r="I49" s="643">
        <f t="shared" si="8"/>
        <v>51.235415571673357</v>
      </c>
      <c r="J49" s="643">
        <f t="shared" si="11"/>
        <v>65.495902179751198</v>
      </c>
      <c r="K49" s="643">
        <f t="shared" si="9"/>
        <v>64.862712568509224</v>
      </c>
      <c r="L49" s="670">
        <f t="shared" si="10"/>
        <v>65.48705846376275</v>
      </c>
      <c r="M49" s="671"/>
      <c r="N49" s="643">
        <f>N48+1</f>
        <v>2</v>
      </c>
      <c r="O49" s="643">
        <f>R48</f>
        <v>1.5916142431711888</v>
      </c>
      <c r="P49" s="643">
        <f t="shared" si="14"/>
        <v>-3.6071419076122435E-4</v>
      </c>
      <c r="Q49" s="643">
        <f t="shared" si="15"/>
        <v>-30.016780476078832</v>
      </c>
      <c r="R49" s="643">
        <f t="shared" si="16"/>
        <v>1.5916022260865768</v>
      </c>
      <c r="T49" s="673"/>
      <c r="U49" s="674" t="s">
        <v>2384</v>
      </c>
      <c r="V49" s="675"/>
      <c r="W49" s="675"/>
      <c r="X49" s="675" t="s">
        <v>2385</v>
      </c>
      <c r="Y49" s="675"/>
      <c r="Z49" s="675"/>
      <c r="AA49" s="675"/>
      <c r="AB49" s="676"/>
    </row>
    <row r="50" spans="1:28" s="625" customFormat="1">
      <c r="A50" s="643">
        <f t="shared" si="12"/>
        <v>4</v>
      </c>
      <c r="B50" s="643">
        <f t="shared" si="13"/>
        <v>60</v>
      </c>
      <c r="C50" s="643">
        <f t="shared" si="2"/>
        <v>9.2425498751054352E-3</v>
      </c>
      <c r="D50" s="643">
        <f t="shared" si="3"/>
        <v>-6.4807354024827984E-2</v>
      </c>
      <c r="E50" s="643">
        <f t="shared" si="4"/>
        <v>33.757552500000003</v>
      </c>
      <c r="F50" s="643">
        <f t="shared" si="5"/>
        <v>41.331737499999996</v>
      </c>
      <c r="G50" s="643">
        <f t="shared" si="6"/>
        <v>-12.356306483557463</v>
      </c>
      <c r="H50" s="643">
        <f t="shared" si="7"/>
        <v>0.59154666808343059</v>
      </c>
      <c r="I50" s="643">
        <f t="shared" si="8"/>
        <v>49.340079163141439</v>
      </c>
      <c r="J50" s="643">
        <f t="shared" si="11"/>
        <v>61.710537415612315</v>
      </c>
      <c r="K50" s="643">
        <f t="shared" si="9"/>
        <v>68.65338538557306</v>
      </c>
      <c r="L50" s="670">
        <f t="shared" si="10"/>
        <v>61.696385646698907</v>
      </c>
      <c r="M50" s="671"/>
      <c r="N50" s="643">
        <f>N49+1</f>
        <v>3</v>
      </c>
      <c r="O50" s="643">
        <f>R49</f>
        <v>1.5916022260865768</v>
      </c>
      <c r="P50" s="643">
        <f t="shared" si="14"/>
        <v>7.1165295878472534E-14</v>
      </c>
      <c r="Q50" s="643">
        <f t="shared" si="15"/>
        <v>-30.016780484748299</v>
      </c>
      <c r="R50" s="643">
        <f t="shared" si="16"/>
        <v>1.5916022260865792</v>
      </c>
      <c r="T50" s="673"/>
      <c r="U50" s="674" t="s">
        <v>2386</v>
      </c>
      <c r="V50" s="675"/>
      <c r="W50" s="675"/>
      <c r="X50" s="675"/>
      <c r="Y50" s="675"/>
      <c r="Z50" s="675" t="s">
        <v>2387</v>
      </c>
      <c r="AA50" s="675"/>
      <c r="AB50" s="676"/>
    </row>
    <row r="51" spans="1:28" s="625" customFormat="1">
      <c r="A51" s="643">
        <f t="shared" si="12"/>
        <v>5</v>
      </c>
      <c r="B51" s="643">
        <f t="shared" si="13"/>
        <v>75</v>
      </c>
      <c r="C51" s="643">
        <f t="shared" si="2"/>
        <v>2.5700995109456143E-2</v>
      </c>
      <c r="D51" s="643">
        <f t="shared" si="3"/>
        <v>-6.0206949053052933E-2</v>
      </c>
      <c r="E51" s="643">
        <f t="shared" si="4"/>
        <v>30.985208377036962</v>
      </c>
      <c r="F51" s="643">
        <f t="shared" si="5"/>
        <v>44.104081622963044</v>
      </c>
      <c r="G51" s="643">
        <f t="shared" si="6"/>
        <v>-10.927000690469256</v>
      </c>
      <c r="H51" s="643">
        <f t="shared" si="7"/>
        <v>1.6449289675327712</v>
      </c>
      <c r="I51" s="643">
        <f t="shared" si="8"/>
        <v>47.910773370053235</v>
      </c>
      <c r="J51" s="643">
        <f t="shared" si="11"/>
        <v>58.960892618176487</v>
      </c>
      <c r="K51" s="643">
        <f t="shared" si="9"/>
        <v>71.511996971749483</v>
      </c>
      <c r="L51" s="670">
        <f t="shared" si="10"/>
        <v>58.837774060522491</v>
      </c>
      <c r="M51" s="671"/>
      <c r="N51" s="643">
        <f>N50+1</f>
        <v>4</v>
      </c>
      <c r="O51" s="643">
        <f>R50</f>
        <v>1.5916022260865792</v>
      </c>
      <c r="P51" s="643">
        <f t="shared" si="14"/>
        <v>-2.1094237467877974E-15</v>
      </c>
      <c r="Q51" s="643">
        <f t="shared" si="15"/>
        <v>-30.016780484748299</v>
      </c>
      <c r="R51" s="643">
        <f t="shared" si="16"/>
        <v>1.5916022260865792</v>
      </c>
      <c r="T51" s="679"/>
      <c r="U51" s="680" t="s">
        <v>2388</v>
      </c>
      <c r="V51" s="681"/>
      <c r="W51" s="681"/>
      <c r="X51" s="681"/>
      <c r="Y51" s="681"/>
      <c r="Z51" s="681"/>
      <c r="AA51" s="681"/>
      <c r="AB51" s="682"/>
    </row>
    <row r="52" spans="1:28" s="625" customFormat="1">
      <c r="A52" s="643">
        <f t="shared" si="12"/>
        <v>6</v>
      </c>
      <c r="B52" s="643">
        <f t="shared" si="13"/>
        <v>90</v>
      </c>
      <c r="C52" s="643">
        <f t="shared" si="2"/>
        <v>4.040796E-2</v>
      </c>
      <c r="D52" s="643">
        <f t="shared" si="3"/>
        <v>-5.150354E-2</v>
      </c>
      <c r="E52" s="643">
        <f t="shared" si="4"/>
        <v>29.970459999999999</v>
      </c>
      <c r="F52" s="643">
        <f t="shared" si="5"/>
        <v>45.118830000000003</v>
      </c>
      <c r="G52" s="643">
        <f t="shared" si="6"/>
        <v>-10.346706845819876</v>
      </c>
      <c r="H52" s="643">
        <f t="shared" si="7"/>
        <v>2.5862120762183998</v>
      </c>
      <c r="I52" s="643">
        <f t="shared" si="8"/>
        <v>47.330479525403859</v>
      </c>
      <c r="J52" s="643">
        <f t="shared" si="11"/>
        <v>57.99550814498636</v>
      </c>
      <c r="K52" s="643">
        <f t="shared" si="9"/>
        <v>72.672584661048234</v>
      </c>
      <c r="L52" s="670">
        <f t="shared" si="10"/>
        <v>57.67718637122374</v>
      </c>
      <c r="M52" s="671"/>
      <c r="N52" s="643">
        <f>N51+1</f>
        <v>5</v>
      </c>
      <c r="O52" s="643">
        <f>R51</f>
        <v>1.5916022260865792</v>
      </c>
      <c r="P52" s="643">
        <f t="shared" si="14"/>
        <v>-2.1094237467877974E-15</v>
      </c>
      <c r="Q52" s="643">
        <f t="shared" si="15"/>
        <v>-30.016780484748299</v>
      </c>
      <c r="R52" s="643">
        <f t="shared" si="16"/>
        <v>1.5916022260865792</v>
      </c>
      <c r="T52" s="666" t="s">
        <v>2055</v>
      </c>
      <c r="U52" s="667" t="s">
        <v>2056</v>
      </c>
      <c r="V52" s="668"/>
      <c r="W52" s="668"/>
      <c r="X52" s="668"/>
      <c r="Y52" s="668"/>
      <c r="Z52" s="668"/>
      <c r="AA52" s="668"/>
      <c r="AB52" s="669"/>
    </row>
    <row r="53" spans="1:28" s="625" customFormat="1">
      <c r="A53" s="643">
        <f t="shared" si="12"/>
        <v>7</v>
      </c>
      <c r="B53" s="643">
        <f t="shared" si="13"/>
        <v>105</v>
      </c>
      <c r="C53" s="643">
        <f t="shared" si="2"/>
        <v>5.2361189193855108E-2</v>
      </c>
      <c r="D53" s="643">
        <f t="shared" si="3"/>
        <v>-3.9290249809571222E-2</v>
      </c>
      <c r="E53" s="643">
        <f t="shared" si="4"/>
        <v>30.985208377036965</v>
      </c>
      <c r="F53" s="643">
        <f t="shared" si="5"/>
        <v>44.104081622963044</v>
      </c>
      <c r="G53" s="643">
        <f t="shared" si="6"/>
        <v>-10.770914216655878</v>
      </c>
      <c r="H53" s="643">
        <f t="shared" si="7"/>
        <v>3.3512491058272791</v>
      </c>
      <c r="I53" s="643">
        <f t="shared" si="8"/>
        <v>47.754686896239861</v>
      </c>
      <c r="J53" s="643">
        <f t="shared" si="11"/>
        <v>59.034911345774006</v>
      </c>
      <c r="K53" s="643">
        <f t="shared" si="9"/>
        <v>71.824169919376246</v>
      </c>
      <c r="L53" s="670">
        <f t="shared" si="10"/>
        <v>58.525601112895743</v>
      </c>
      <c r="M53" s="671"/>
      <c r="N53" s="643">
        <f>N52+1</f>
        <v>6</v>
      </c>
      <c r="O53" s="643">
        <f>R52</f>
        <v>1.5916022260865792</v>
      </c>
      <c r="P53" s="643">
        <f t="shared" si="14"/>
        <v>-2.1094237467877974E-15</v>
      </c>
      <c r="Q53" s="643">
        <f t="shared" si="15"/>
        <v>-30.016780484748299</v>
      </c>
      <c r="R53" s="643">
        <f t="shared" si="16"/>
        <v>1.5916022260865792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6.0746089875105436E-2</v>
      </c>
      <c r="D54" s="643">
        <f t="shared" si="3"/>
        <v>-2.4399394024827999E-2</v>
      </c>
      <c r="E54" s="643">
        <f t="shared" si="4"/>
        <v>33.757552499999989</v>
      </c>
      <c r="F54" s="643">
        <f t="shared" si="5"/>
        <v>41.331737500000003</v>
      </c>
      <c r="G54" s="643">
        <f t="shared" si="6"/>
        <v>-12.085956780538412</v>
      </c>
      <c r="H54" s="643">
        <f t="shared" si="7"/>
        <v>3.8879040470750308</v>
      </c>
      <c r="I54" s="643">
        <f t="shared" si="8"/>
        <v>49.069729460122403</v>
      </c>
      <c r="J54" s="643">
        <f t="shared" si="11"/>
        <v>61.765640186821173</v>
      </c>
      <c r="K54" s="643">
        <f t="shared" si="9"/>
        <v>69.194084791611161</v>
      </c>
      <c r="L54" s="670">
        <f t="shared" si="10"/>
        <v>61.155686240660813</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6.4991244919027358E-2</v>
      </c>
      <c r="D55" s="643">
        <f t="shared" si="3"/>
        <v>-7.8457598591978386E-3</v>
      </c>
      <c r="E55" s="643">
        <f t="shared" si="4"/>
        <v>37.544645000000003</v>
      </c>
      <c r="F55" s="643">
        <f t="shared" si="5"/>
        <v>37.544645000000003</v>
      </c>
      <c r="G55" s="643">
        <f t="shared" si="6"/>
        <v>-13.939469944462623</v>
      </c>
      <c r="H55" s="643">
        <f t="shared" si="7"/>
        <v>4.1596047525798454</v>
      </c>
      <c r="I55" s="643">
        <f t="shared" si="8"/>
        <v>50.923242624046601</v>
      </c>
      <c r="J55" s="643">
        <f t="shared" si="11"/>
        <v>65.47010256116917</v>
      </c>
      <c r="K55" s="643">
        <f t="shared" si="9"/>
        <v>65.48705846376275</v>
      </c>
      <c r="L55" s="670">
        <f t="shared" si="10"/>
        <v>64.862712568509224</v>
      </c>
      <c r="M55" s="671"/>
      <c r="T55" s="673"/>
      <c r="U55" s="674" t="s">
        <v>2062</v>
      </c>
      <c r="V55" s="675"/>
      <c r="W55" s="675"/>
      <c r="X55" s="675"/>
      <c r="Y55" s="675"/>
      <c r="Z55" s="675"/>
      <c r="AA55" s="675"/>
      <c r="AB55" s="676"/>
    </row>
    <row r="56" spans="1:28" s="625" customFormat="1">
      <c r="A56" s="643">
        <f t="shared" si="12"/>
        <v>10</v>
      </c>
      <c r="B56" s="643">
        <f t="shared" si="13"/>
        <v>150</v>
      </c>
      <c r="C56" s="643">
        <f t="shared" si="2"/>
        <v>6.4807354024827984E-2</v>
      </c>
      <c r="D56" s="643">
        <f t="shared" si="3"/>
        <v>9.2425498751054526E-3</v>
      </c>
      <c r="E56" s="643">
        <f t="shared" si="4"/>
        <v>41.33173750000001</v>
      </c>
      <c r="F56" s="643">
        <f t="shared" si="5"/>
        <v>33.757552500000003</v>
      </c>
      <c r="G56" s="643">
        <f t="shared" si="6"/>
        <v>-15.834806352994548</v>
      </c>
      <c r="H56" s="643">
        <f t="shared" si="7"/>
        <v>4.1478352682682145</v>
      </c>
      <c r="I56" s="643">
        <f t="shared" si="8"/>
        <v>52.818579032578526</v>
      </c>
      <c r="J56" s="643">
        <f>SQRT(G56^2+H56^2)+I56</f>
        <v>69.187623893214905</v>
      </c>
      <c r="K56" s="643">
        <f t="shared" si="9"/>
        <v>61.696385646698907</v>
      </c>
      <c r="L56" s="670">
        <f t="shared" si="10"/>
        <v>68.653385385573074</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6.020694905305294E-2</v>
      </c>
      <c r="D57" s="643">
        <f t="shared" si="3"/>
        <v>2.5700995109456122E-2</v>
      </c>
      <c r="E57" s="643">
        <f t="shared" si="4"/>
        <v>44.104081622963037</v>
      </c>
      <c r="F57" s="643">
        <f t="shared" si="5"/>
        <v>30.985208377036962</v>
      </c>
      <c r="G57" s="643">
        <f t="shared" si="6"/>
        <v>-17.264112146082745</v>
      </c>
      <c r="H57" s="643">
        <f t="shared" si="7"/>
        <v>3.8533976650459834</v>
      </c>
      <c r="I57" s="643">
        <f t="shared" si="8"/>
        <v>54.247884825666723</v>
      </c>
      <c r="J57" s="643">
        <f t="shared" si="11"/>
        <v>71.936814746877431</v>
      </c>
      <c r="K57" s="643">
        <f t="shared" si="9"/>
        <v>58.837774060522491</v>
      </c>
      <c r="L57" s="670">
        <f t="shared" si="10"/>
        <v>71.511996971749483</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5.1503540000000007E-2</v>
      </c>
      <c r="D58" s="643">
        <f t="shared" si="3"/>
        <v>4.0407959999999993E-2</v>
      </c>
      <c r="E58" s="643">
        <f t="shared" si="4"/>
        <v>45.118830000000003</v>
      </c>
      <c r="F58" s="643">
        <f t="shared" si="5"/>
        <v>29.970459999999999</v>
      </c>
      <c r="G58" s="643">
        <f t="shared" si="6"/>
        <v>-17.844405990732128</v>
      </c>
      <c r="H58" s="643">
        <f t="shared" si="7"/>
        <v>3.2963573789916003</v>
      </c>
      <c r="I58" s="643">
        <f t="shared" si="8"/>
        <v>54.828178670316106</v>
      </c>
      <c r="J58" s="643">
        <f t="shared" si="11"/>
        <v>72.97449502190959</v>
      </c>
      <c r="K58" s="643">
        <f t="shared" si="9"/>
        <v>57.67718637122374</v>
      </c>
      <c r="L58" s="670">
        <f t="shared" si="10"/>
        <v>72.672584661048234</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3.929024980957125E-2</v>
      </c>
      <c r="D59" s="643">
        <f t="shared" si="3"/>
        <v>5.2361189193855087E-2</v>
      </c>
      <c r="E59" s="643">
        <f t="shared" si="4"/>
        <v>44.104081622963044</v>
      </c>
      <c r="F59" s="643">
        <f t="shared" si="5"/>
        <v>30.985208377036962</v>
      </c>
      <c r="G59" s="643">
        <f t="shared" si="6"/>
        <v>-17.42019861989613</v>
      </c>
      <c r="H59" s="643">
        <f t="shared" si="7"/>
        <v>2.5146757850470762</v>
      </c>
      <c r="I59" s="643">
        <f t="shared" si="8"/>
        <v>54.403971299480112</v>
      </c>
      <c r="J59" s="643">
        <f t="shared" si="11"/>
        <v>72.004735892546321</v>
      </c>
      <c r="K59" s="643">
        <f t="shared" si="9"/>
        <v>58.525601112895735</v>
      </c>
      <c r="L59" s="670">
        <f t="shared" si="10"/>
        <v>71.824169919376246</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2.4399394024827985E-2</v>
      </c>
      <c r="D60" s="643">
        <f t="shared" si="3"/>
        <v>6.074608987510545E-2</v>
      </c>
      <c r="E60" s="643">
        <f t="shared" si="4"/>
        <v>41.331737499999996</v>
      </c>
      <c r="F60" s="643">
        <f t="shared" si="5"/>
        <v>33.757552500000003</v>
      </c>
      <c r="G60" s="643">
        <f t="shared" si="6"/>
        <v>-16.105156056013584</v>
      </c>
      <c r="H60" s="643">
        <f t="shared" si="7"/>
        <v>1.561623192049814</v>
      </c>
      <c r="I60" s="643">
        <f t="shared" si="8"/>
        <v>53.08892873559757</v>
      </c>
      <c r="J60" s="643">
        <f t="shared" si="11"/>
        <v>69.269618417514678</v>
      </c>
      <c r="K60" s="643">
        <f t="shared" si="9"/>
        <v>61.155686240660827</v>
      </c>
      <c r="L60" s="670">
        <f t="shared" si="10"/>
        <v>69.194084791611147</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7.8457598591978456E-3</v>
      </c>
      <c r="D61" s="643">
        <f t="shared" si="3"/>
        <v>6.4991244919027358E-2</v>
      </c>
      <c r="E61" s="643">
        <f t="shared" si="4"/>
        <v>37.54464500000001</v>
      </c>
      <c r="F61" s="643">
        <f t="shared" si="5"/>
        <v>37.544645000000003</v>
      </c>
      <c r="G61" s="643">
        <f t="shared" si="6"/>
        <v>-14.251642892089388</v>
      </c>
      <c r="H61" s="643">
        <f t="shared" si="7"/>
        <v>0.50214855921870449</v>
      </c>
      <c r="I61" s="643">
        <f t="shared" si="8"/>
        <v>51.235415571673371</v>
      </c>
      <c r="J61" s="643">
        <f t="shared" si="11"/>
        <v>65.495902179751212</v>
      </c>
      <c r="K61" s="643">
        <f t="shared" si="9"/>
        <v>64.862712568509224</v>
      </c>
      <c r="L61" s="670">
        <f t="shared" si="10"/>
        <v>65.487058463762764</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-9.242549875105411E-3</v>
      </c>
      <c r="D62" s="643">
        <f t="shared" si="3"/>
        <v>6.4807354024827984E-2</v>
      </c>
      <c r="E62" s="643">
        <f t="shared" si="4"/>
        <v>33.75755250000001</v>
      </c>
      <c r="F62" s="643">
        <f t="shared" si="5"/>
        <v>41.331737499999996</v>
      </c>
      <c r="G62" s="643">
        <f t="shared" si="6"/>
        <v>-12.356306483557466</v>
      </c>
      <c r="H62" s="643">
        <f t="shared" si="7"/>
        <v>-0.59154666808342904</v>
      </c>
      <c r="I62" s="643">
        <f t="shared" si="8"/>
        <v>49.340079163141446</v>
      </c>
      <c r="J62" s="643">
        <f t="shared" si="11"/>
        <v>61.710537415612322</v>
      </c>
      <c r="K62" s="643">
        <f t="shared" si="9"/>
        <v>68.65338538557306</v>
      </c>
      <c r="L62" s="670">
        <f t="shared" si="10"/>
        <v>61.696385646698914</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-2.5700995109456146E-2</v>
      </c>
      <c r="D63" s="643">
        <f t="shared" si="3"/>
        <v>6.0206949053052933E-2</v>
      </c>
      <c r="E63" s="643">
        <f t="shared" si="4"/>
        <v>30.985208377036962</v>
      </c>
      <c r="F63" s="643">
        <f t="shared" si="5"/>
        <v>44.104081622963044</v>
      </c>
      <c r="G63" s="643">
        <f t="shared" si="6"/>
        <v>-10.927000690469256</v>
      </c>
      <c r="H63" s="643">
        <f t="shared" si="7"/>
        <v>-1.6449289675327714</v>
      </c>
      <c r="I63" s="643">
        <f t="shared" si="8"/>
        <v>47.910773370053235</v>
      </c>
      <c r="J63" s="643">
        <f t="shared" si="11"/>
        <v>58.960892618176487</v>
      </c>
      <c r="K63" s="643">
        <f t="shared" si="9"/>
        <v>71.511996971749483</v>
      </c>
      <c r="L63" s="670">
        <f t="shared" si="10"/>
        <v>58.837774060522491</v>
      </c>
      <c r="M63" s="671"/>
      <c r="N63" s="638">
        <f>O70*180/PI()-INT(O70*180/PI()/360)*360</f>
        <v>0.28551873349156193</v>
      </c>
      <c r="O63" s="638">
        <f>INDEX($B73:$B85,MATCH($J$43,$J$73:$J$85,0))</f>
        <v>0</v>
      </c>
      <c r="P63" s="653"/>
      <c r="Q63" s="687"/>
      <c r="R63" s="687"/>
      <c r="S63" s="687"/>
      <c r="V63" s="687"/>
      <c r="W63" s="687"/>
      <c r="X63" s="687"/>
      <c r="Y63" s="687"/>
      <c r="Z63" s="687"/>
      <c r="AA63" s="687"/>
      <c r="AB63" s="688"/>
    </row>
    <row r="64" spans="1:28" s="625" customFormat="1">
      <c r="A64" s="643">
        <f t="shared" si="12"/>
        <v>18</v>
      </c>
      <c r="B64" s="643">
        <f t="shared" si="13"/>
        <v>270</v>
      </c>
      <c r="C64" s="643">
        <f t="shared" si="2"/>
        <v>-4.0407959999999993E-2</v>
      </c>
      <c r="D64" s="643">
        <f t="shared" si="3"/>
        <v>5.1503540000000007E-2</v>
      </c>
      <c r="E64" s="643">
        <f t="shared" si="4"/>
        <v>29.970459999999999</v>
      </c>
      <c r="F64" s="643">
        <f t="shared" si="5"/>
        <v>45.118830000000003</v>
      </c>
      <c r="G64" s="643">
        <f t="shared" si="6"/>
        <v>-10.346706845819876</v>
      </c>
      <c r="H64" s="643">
        <f t="shared" si="7"/>
        <v>-2.5862120762183993</v>
      </c>
      <c r="I64" s="643">
        <f t="shared" si="8"/>
        <v>47.330479525403859</v>
      </c>
      <c r="J64" s="643">
        <f t="shared" si="11"/>
        <v>57.99550814498636</v>
      </c>
      <c r="K64" s="643">
        <f t="shared" si="9"/>
        <v>72.672584661048234</v>
      </c>
      <c r="L64" s="670">
        <f t="shared" si="10"/>
        <v>57.67718637122374</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-5.2361189193855115E-2</v>
      </c>
      <c r="D65" s="643">
        <f t="shared" si="3"/>
        <v>3.9290249809571201E-2</v>
      </c>
      <c r="E65" s="643">
        <f t="shared" si="4"/>
        <v>30.985208377036965</v>
      </c>
      <c r="F65" s="643">
        <f t="shared" si="5"/>
        <v>44.104081622963037</v>
      </c>
      <c r="G65" s="643">
        <f t="shared" si="6"/>
        <v>-10.770914216655878</v>
      </c>
      <c r="H65" s="643">
        <f t="shared" si="7"/>
        <v>-3.35124910582728</v>
      </c>
      <c r="I65" s="643">
        <f t="shared" si="8"/>
        <v>47.754686896239861</v>
      </c>
      <c r="J65" s="643">
        <f t="shared" si="11"/>
        <v>59.034911345774006</v>
      </c>
      <c r="K65" s="643">
        <f t="shared" si="9"/>
        <v>71.824169919376232</v>
      </c>
      <c r="L65" s="670">
        <f t="shared" si="10"/>
        <v>58.525601112895743</v>
      </c>
      <c r="M65" s="671"/>
      <c r="N65" s="643">
        <v>1</v>
      </c>
      <c r="O65" s="643">
        <f>O63*PI()/180</f>
        <v>0</v>
      </c>
      <c r="P65" s="643">
        <f t="shared" ref="P65:P70" si="17">SIN(O65)</f>
        <v>0</v>
      </c>
      <c r="Q65" s="643">
        <f t="shared" ref="Q65:Q70" si="18">COS(O65)</f>
        <v>1</v>
      </c>
      <c r="R65" s="643">
        <f t="shared" ref="R65:R70" si="19">($E$18*($E$19*Q65-$E$20*P65+$E$28)^2-$E$18*($E$21+$E$26)^2+$E$24-$E$22*Q65^2-$E$23*P65^2)/2</f>
        <v>-17.844405990732128</v>
      </c>
      <c r="S65" s="643">
        <f t="shared" ref="S65:S70" si="20">$E$18*($E$19*Q65-$E$20*P65+$E$28)*(-$E$19*P65-$E$20*Q65)-($E$23-$E$22)*P65*Q65</f>
        <v>-0.31217294762676001</v>
      </c>
      <c r="T65" s="643">
        <f t="shared" ref="T65:T70" si="21">$E$18*(-$E$19*P65-$E$20*Q65)^2+$E$18*($E$19*Q65-$E$20*P65+$E$28)*(-$E$19*Q65+$E$20*P65)-($E$23-$E$22)*(Q65^2-P65^2)</f>
        <v>14.995398289824504</v>
      </c>
      <c r="U65" s="643">
        <f t="shared" ref="U65:U70" si="22">$E$18*($E$19*Q65-$E$20*P65+$E$28)*($E$21+$E$26)</f>
        <v>-3.2963573789915999</v>
      </c>
      <c r="V65" s="643">
        <f t="shared" ref="V65:V70" si="23">$E$18*($E$21+$E$26)*(-$E$19*P65-$E$20*Q65)</f>
        <v>2.5862120762183998</v>
      </c>
      <c r="W65" s="643">
        <f t="shared" ref="W65:W70" si="24">$E$18*($E$21+$E$26)*(-$E$19*Q65+$E$20*P65)</f>
        <v>3.2963573789915999</v>
      </c>
      <c r="X65" s="643">
        <f t="shared" ref="X65:X70" si="25">S65+2*($E$23-$E$22)*P65*Q65+2*$E$18*($E$19*P65+$E$20*Q65+$E$27)*($E$19*Q65-$E$20*P65)</f>
        <v>0.3121729476267599</v>
      </c>
      <c r="Y65" s="643">
        <f t="shared" ref="Y65:Y70" si="26">T65+2*($E$23-$E$22)*(Q65^2-P65^2)+2*$E$18*($E$19*Q65-$E$20*P65)^2+2*$E$18*($E$19*P65+$E$20*Q65+$E$27)*(-$E$19*P65-$E$20*Q65)</f>
        <v>-14.995398289824504</v>
      </c>
      <c r="Z65" s="643">
        <f t="shared" ref="Z65:Z70" si="27">IF(OR(R65,U65),(R65^2+U65^2)^(-0.5)*(R65*S65+U65*V65)+X65,0)</f>
        <v>0.14935541556908699</v>
      </c>
      <c r="AA65" s="643">
        <f t="shared" ref="AA65:AA70" si="28">IF(OR(R65,U65),(-1)*(R65^2+U65^2)^(-1.5)*(R65*S65+U65*V65)^2+(R65^2+U65^2)^(-0.5)*(S65^2+R65*T65+V65^2+U65*W65)+Y65,0)</f>
        <v>-29.967611188497493</v>
      </c>
      <c r="AB65" s="643">
        <f t="shared" ref="AB65:AB70" si="29">IF(AA65=0,O65,O65-Z65/AA65)</f>
        <v>4.9838945997275307E-3</v>
      </c>
    </row>
    <row r="66" spans="1:28" s="625" customFormat="1">
      <c r="A66" s="643">
        <f t="shared" si="12"/>
        <v>20</v>
      </c>
      <c r="B66" s="643">
        <f t="shared" si="13"/>
        <v>300</v>
      </c>
      <c r="C66" s="643">
        <f t="shared" si="2"/>
        <v>-6.074608987510545E-2</v>
      </c>
      <c r="D66" s="643">
        <f t="shared" si="3"/>
        <v>2.4399394024827985E-2</v>
      </c>
      <c r="E66" s="643">
        <f t="shared" si="4"/>
        <v>33.757552500000003</v>
      </c>
      <c r="F66" s="643">
        <f t="shared" si="5"/>
        <v>41.331737499999996</v>
      </c>
      <c r="G66" s="643">
        <f t="shared" si="6"/>
        <v>-12.085956780538419</v>
      </c>
      <c r="H66" s="643">
        <f t="shared" si="7"/>
        <v>-3.8879040470750317</v>
      </c>
      <c r="I66" s="643">
        <f t="shared" si="8"/>
        <v>49.069729460122403</v>
      </c>
      <c r="J66" s="643">
        <f t="shared" si="11"/>
        <v>61.765640186821173</v>
      </c>
      <c r="K66" s="643">
        <f t="shared" si="9"/>
        <v>69.194084791611147</v>
      </c>
      <c r="L66" s="670">
        <f t="shared" si="10"/>
        <v>61.155686240660827</v>
      </c>
      <c r="M66" s="671"/>
      <c r="N66" s="643">
        <f>N65+1</f>
        <v>2</v>
      </c>
      <c r="O66" s="643">
        <f>AB65</f>
        <v>4.9838945997275307E-3</v>
      </c>
      <c r="P66" s="643">
        <f t="shared" si="17"/>
        <v>4.9838739670895619E-3</v>
      </c>
      <c r="Q66" s="643">
        <f t="shared" si="18"/>
        <v>0.99998758042301716</v>
      </c>
      <c r="R66" s="643">
        <f t="shared" si="19"/>
        <v>-17.845775566689316</v>
      </c>
      <c r="S66" s="643">
        <f t="shared" si="20"/>
        <v>-0.23742319251570834</v>
      </c>
      <c r="T66" s="643">
        <f t="shared" si="21"/>
        <v>15.000876593653258</v>
      </c>
      <c r="U66" s="643">
        <f t="shared" si="22"/>
        <v>-3.283427084587331</v>
      </c>
      <c r="V66" s="643">
        <f t="shared" si="23"/>
        <v>2.6026085862858053</v>
      </c>
      <c r="W66" s="643">
        <f t="shared" si="24"/>
        <v>3.283427084587331</v>
      </c>
      <c r="X66" s="643">
        <f t="shared" si="25"/>
        <v>0.2374231925157082</v>
      </c>
      <c r="Y66" s="643">
        <f t="shared" si="26"/>
        <v>-15.000876593653258</v>
      </c>
      <c r="Z66" s="643">
        <f t="shared" si="27"/>
        <v>-1.9562386515181718E-5</v>
      </c>
      <c r="AA66" s="643">
        <f t="shared" si="28"/>
        <v>-29.974964915217786</v>
      </c>
      <c r="AB66" s="643">
        <f t="shared" si="29"/>
        <v>4.9832419755603125E-3</v>
      </c>
    </row>
    <row r="67" spans="1:28" s="625" customFormat="1">
      <c r="A67" s="643">
        <f t="shared" si="12"/>
        <v>21</v>
      </c>
      <c r="B67" s="643">
        <f t="shared" si="13"/>
        <v>315</v>
      </c>
      <c r="C67" s="643">
        <f t="shared" si="2"/>
        <v>-6.4991244919027358E-2</v>
      </c>
      <c r="D67" s="643">
        <f t="shared" si="3"/>
        <v>7.8457598591978525E-3</v>
      </c>
      <c r="E67" s="643">
        <f t="shared" si="4"/>
        <v>37.544644999999996</v>
      </c>
      <c r="F67" s="643">
        <f t="shared" si="5"/>
        <v>37.544645000000003</v>
      </c>
      <c r="G67" s="643">
        <f t="shared" si="6"/>
        <v>-13.939469944462619</v>
      </c>
      <c r="H67" s="643">
        <f t="shared" si="7"/>
        <v>-4.1596047525798454</v>
      </c>
      <c r="I67" s="643">
        <f t="shared" si="8"/>
        <v>50.923242624046601</v>
      </c>
      <c r="J67" s="643">
        <f t="shared" si="11"/>
        <v>65.47010256116917</v>
      </c>
      <c r="K67" s="643">
        <f t="shared" si="9"/>
        <v>65.48705846376275</v>
      </c>
      <c r="L67" s="670">
        <f t="shared" si="10"/>
        <v>64.862712568509224</v>
      </c>
      <c r="M67" s="671"/>
      <c r="N67" s="643">
        <f>N66+1</f>
        <v>3</v>
      </c>
      <c r="O67" s="643">
        <f>AB66</f>
        <v>4.9832419755603125E-3</v>
      </c>
      <c r="P67" s="643">
        <f t="shared" si="17"/>
        <v>4.9832213510265988E-3</v>
      </c>
      <c r="Q67" s="643">
        <f t="shared" si="18"/>
        <v>0.99998758367540075</v>
      </c>
      <c r="R67" s="643">
        <f t="shared" si="19"/>
        <v>-17.845775411738007</v>
      </c>
      <c r="S67" s="643">
        <f t="shared" si="20"/>
        <v>-0.2374329824501005</v>
      </c>
      <c r="T67" s="643">
        <f t="shared" si="21"/>
        <v>15.000875973848023</v>
      </c>
      <c r="U67" s="643">
        <f t="shared" si="22"/>
        <v>-3.2834287831118929</v>
      </c>
      <c r="V67" s="643">
        <f t="shared" si="23"/>
        <v>2.6026064434413838</v>
      </c>
      <c r="W67" s="643">
        <f t="shared" si="24"/>
        <v>3.2834287831118929</v>
      </c>
      <c r="X67" s="643">
        <f t="shared" si="25"/>
        <v>0.23743298245010047</v>
      </c>
      <c r="Y67" s="643">
        <f t="shared" si="26"/>
        <v>-15.000875973848025</v>
      </c>
      <c r="Z67" s="643">
        <f t="shared" si="27"/>
        <v>-2.5052182550666657E-13</v>
      </c>
      <c r="AA67" s="643">
        <f t="shared" si="28"/>
        <v>-29.97496414731707</v>
      </c>
      <c r="AB67" s="643">
        <f t="shared" si="29"/>
        <v>4.9832419755519546E-3</v>
      </c>
    </row>
    <row r="68" spans="1:28" s="625" customFormat="1">
      <c r="A68" s="643">
        <f t="shared" si="12"/>
        <v>22</v>
      </c>
      <c r="B68" s="643">
        <f t="shared" si="13"/>
        <v>330</v>
      </c>
      <c r="C68" s="643">
        <f t="shared" si="2"/>
        <v>-6.4807354024827984E-2</v>
      </c>
      <c r="D68" s="643">
        <f t="shared" si="3"/>
        <v>-9.242549875105411E-3</v>
      </c>
      <c r="E68" s="643">
        <f t="shared" si="4"/>
        <v>41.331737499999996</v>
      </c>
      <c r="F68" s="643">
        <f t="shared" si="5"/>
        <v>33.75755250000001</v>
      </c>
      <c r="G68" s="643">
        <f t="shared" si="6"/>
        <v>-15.834806352994541</v>
      </c>
      <c r="H68" s="643">
        <f t="shared" si="7"/>
        <v>-4.1478352682682145</v>
      </c>
      <c r="I68" s="643">
        <f t="shared" si="8"/>
        <v>52.818579032578526</v>
      </c>
      <c r="J68" s="643">
        <f t="shared" si="11"/>
        <v>69.187623893214891</v>
      </c>
      <c r="K68" s="643">
        <f t="shared" si="9"/>
        <v>61.696385646698914</v>
      </c>
      <c r="L68" s="670">
        <f t="shared" si="10"/>
        <v>68.65338538557306</v>
      </c>
      <c r="M68" s="671"/>
      <c r="N68" s="643">
        <f>N67+1</f>
        <v>4</v>
      </c>
      <c r="O68" s="643">
        <f>AB67</f>
        <v>4.9832419755519546E-3</v>
      </c>
      <c r="P68" s="643">
        <f t="shared" si="17"/>
        <v>4.9832213510182409E-3</v>
      </c>
      <c r="Q68" s="643">
        <f t="shared" si="18"/>
        <v>0.99998758367540086</v>
      </c>
      <c r="R68" s="643">
        <f t="shared" si="19"/>
        <v>-17.845775411738011</v>
      </c>
      <c r="S68" s="643">
        <f t="shared" si="20"/>
        <v>-0.23743298245022593</v>
      </c>
      <c r="T68" s="643">
        <f t="shared" si="21"/>
        <v>15.000875973848018</v>
      </c>
      <c r="U68" s="643">
        <f t="shared" si="22"/>
        <v>-3.2834287831119151</v>
      </c>
      <c r="V68" s="643">
        <f t="shared" si="23"/>
        <v>2.6026064434413567</v>
      </c>
      <c r="W68" s="643">
        <f t="shared" si="24"/>
        <v>3.2834287831119147</v>
      </c>
      <c r="X68" s="643">
        <f t="shared" si="25"/>
        <v>0.23743298245022593</v>
      </c>
      <c r="Y68" s="643">
        <f t="shared" si="26"/>
        <v>-15.00087597384802</v>
      </c>
      <c r="Z68" s="643">
        <f t="shared" si="27"/>
        <v>1.6653345369377348E-16</v>
      </c>
      <c r="AA68" s="643">
        <f t="shared" si="28"/>
        <v>-29.974964147317067</v>
      </c>
      <c r="AB68" s="643">
        <f t="shared" si="29"/>
        <v>4.9832419755519598E-3</v>
      </c>
    </row>
    <row r="69" spans="1:28" s="625" customFormat="1">
      <c r="A69" s="643">
        <f t="shared" si="12"/>
        <v>23</v>
      </c>
      <c r="B69" s="643">
        <f t="shared" si="13"/>
        <v>345</v>
      </c>
      <c r="C69" s="643">
        <f t="shared" si="2"/>
        <v>-6.0206949053052933E-2</v>
      </c>
      <c r="D69" s="643">
        <f t="shared" si="3"/>
        <v>-2.5700995109456143E-2</v>
      </c>
      <c r="E69" s="643">
        <f t="shared" si="4"/>
        <v>44.104081622963044</v>
      </c>
      <c r="F69" s="643">
        <f t="shared" si="5"/>
        <v>30.985208377036962</v>
      </c>
      <c r="G69" s="643">
        <f t="shared" si="6"/>
        <v>-17.264112146082752</v>
      </c>
      <c r="H69" s="643">
        <f t="shared" si="7"/>
        <v>-3.8533976650459825</v>
      </c>
      <c r="I69" s="643">
        <f t="shared" si="8"/>
        <v>54.247884825666731</v>
      </c>
      <c r="J69" s="643">
        <f t="shared" si="11"/>
        <v>71.936814746877445</v>
      </c>
      <c r="K69" s="643">
        <f t="shared" si="9"/>
        <v>58.837774060522491</v>
      </c>
      <c r="L69" s="670">
        <f t="shared" si="10"/>
        <v>71.511996971749483</v>
      </c>
      <c r="M69" s="671"/>
      <c r="N69" s="643">
        <f>N68+1</f>
        <v>5</v>
      </c>
      <c r="O69" s="643">
        <f>AB68</f>
        <v>4.9832419755519598E-3</v>
      </c>
      <c r="P69" s="643">
        <f t="shared" si="17"/>
        <v>4.9832213510182461E-3</v>
      </c>
      <c r="Q69" s="643">
        <f t="shared" si="18"/>
        <v>0.99998758367540086</v>
      </c>
      <c r="R69" s="643">
        <f t="shared" si="19"/>
        <v>-17.845775411738011</v>
      </c>
      <c r="S69" s="643">
        <f t="shared" si="20"/>
        <v>-0.23743298245022587</v>
      </c>
      <c r="T69" s="643">
        <f t="shared" si="21"/>
        <v>15.000875973848018</v>
      </c>
      <c r="U69" s="643">
        <f t="shared" si="22"/>
        <v>-3.2834287831119151</v>
      </c>
      <c r="V69" s="643">
        <f t="shared" si="23"/>
        <v>2.6026064434413567</v>
      </c>
      <c r="W69" s="643">
        <f t="shared" si="24"/>
        <v>3.2834287831119147</v>
      </c>
      <c r="X69" s="643">
        <f t="shared" si="25"/>
        <v>0.23743298245022582</v>
      </c>
      <c r="Y69" s="643">
        <f t="shared" si="26"/>
        <v>-15.00087597384802</v>
      </c>
      <c r="Z69" s="643">
        <f t="shared" si="27"/>
        <v>2.7755575615628914E-17</v>
      </c>
      <c r="AA69" s="643">
        <f t="shared" si="28"/>
        <v>-29.974964147317067</v>
      </c>
      <c r="AB69" s="643">
        <f t="shared" si="29"/>
        <v>4.9832419755519606E-3</v>
      </c>
    </row>
    <row r="70" spans="1:28" s="625" customFormat="1">
      <c r="A70" s="643">
        <f t="shared" si="12"/>
        <v>24</v>
      </c>
      <c r="B70" s="643">
        <f t="shared" si="13"/>
        <v>360</v>
      </c>
      <c r="C70" s="643">
        <f t="shared" si="2"/>
        <v>-5.1503540000000007E-2</v>
      </c>
      <c r="D70" s="643">
        <f t="shared" si="3"/>
        <v>-4.0407959999999986E-2</v>
      </c>
      <c r="E70" s="643">
        <f t="shared" si="4"/>
        <v>45.118830000000003</v>
      </c>
      <c r="F70" s="643">
        <f t="shared" si="5"/>
        <v>29.970459999999999</v>
      </c>
      <c r="G70" s="643">
        <f t="shared" si="6"/>
        <v>-17.844405990732128</v>
      </c>
      <c r="H70" s="643">
        <f t="shared" si="7"/>
        <v>-3.2963573789916003</v>
      </c>
      <c r="I70" s="643">
        <f t="shared" si="8"/>
        <v>54.828178670316106</v>
      </c>
      <c r="J70" s="643">
        <f t="shared" si="11"/>
        <v>72.97449502190959</v>
      </c>
      <c r="K70" s="643">
        <f t="shared" si="9"/>
        <v>57.67718637122374</v>
      </c>
      <c r="L70" s="670">
        <f t="shared" si="10"/>
        <v>72.672584661048234</v>
      </c>
      <c r="M70" s="671"/>
      <c r="N70" s="643">
        <f>N69+1</f>
        <v>6</v>
      </c>
      <c r="O70" s="643">
        <f>AB69</f>
        <v>4.9832419755519606E-3</v>
      </c>
      <c r="P70" s="643">
        <f t="shared" si="17"/>
        <v>4.9832213510182469E-3</v>
      </c>
      <c r="Q70" s="643">
        <f t="shared" si="18"/>
        <v>0.99998758367540086</v>
      </c>
      <c r="R70" s="643">
        <f t="shared" si="19"/>
        <v>-17.845775411738011</v>
      </c>
      <c r="S70" s="643">
        <f t="shared" si="20"/>
        <v>-0.23743298245022584</v>
      </c>
      <c r="T70" s="643">
        <f t="shared" si="21"/>
        <v>15.000875973848018</v>
      </c>
      <c r="U70" s="643">
        <f t="shared" si="22"/>
        <v>-3.2834287831119151</v>
      </c>
      <c r="V70" s="643">
        <f t="shared" si="23"/>
        <v>2.6026064434413567</v>
      </c>
      <c r="W70" s="643">
        <f t="shared" si="24"/>
        <v>3.2834287831119147</v>
      </c>
      <c r="X70" s="643">
        <f t="shared" si="25"/>
        <v>0.23743298245022582</v>
      </c>
      <c r="Y70" s="643">
        <f t="shared" si="26"/>
        <v>-15.00087597384802</v>
      </c>
      <c r="Z70" s="643">
        <f t="shared" si="27"/>
        <v>-2.7755575615628914E-17</v>
      </c>
      <c r="AA70" s="643">
        <f t="shared" si="28"/>
        <v>-29.974964147317067</v>
      </c>
      <c r="AB70" s="643">
        <f t="shared" si="29"/>
        <v>4.9832419755519598E-3</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-5.8779351366393971E-2</v>
      </c>
      <c r="D73" s="643">
        <f t="shared" ref="D73:D85" si="32">$E$19*SIN(B73*PI()/180)+$E$20*COS(B73*PI()/180)</f>
        <v>-2.8816761040047489E-2</v>
      </c>
      <c r="E73" s="643">
        <f t="shared" ref="E73:E85" si="33">$E$22*COS(B73*PI()/180)^2+$E$23*SIN(B73*PI()/180)^2</f>
        <v>44.464007302094736</v>
      </c>
      <c r="F73" s="643">
        <f t="shared" ref="F73:F85" si="34">$E$22*SIN(B73*PI()/180)^2+$E$23*COS(B73*PI()/180)^2</f>
        <v>30.625282697905281</v>
      </c>
      <c r="G73" s="643">
        <f t="shared" ref="G73:G85" si="35">($E$18*(C73+$E$28)^2-$E$18*($E$21+$E$26)^2+$E$24-E73)/2</f>
        <v>-17.456814828190314</v>
      </c>
      <c r="H73" s="643">
        <f t="shared" ref="H73:H85" si="36">$E$18*(C73+$E$28)*($E$21+$E$26)</f>
        <v>-3.7620277870016849</v>
      </c>
      <c r="I73" s="643">
        <f t="shared" ref="I73:I85" si="37">$E$18*((C73+$E$28)^2+($E$21+$E$26)^2)/2+$E$18*(D73+$E$27)^2+($E$24+E73)/2</f>
        <v>54.440587507774296</v>
      </c>
      <c r="J73" s="643">
        <f>SQRT(G73^2+H73^2)+I73</f>
        <v>72.298169567389706</v>
      </c>
      <c r="K73" s="670">
        <f>IF(G73=0,0,IF((PI()/2-ATAN2(H73,G73))/2*180/PI()&gt;90,(PI()/2-ATAN2(H73,G73))/2*180/PI()-180,(PI()/2-ATAN2(H73,G73))/2*180/PI()))</f>
        <v>-83.91923821481258</v>
      </c>
      <c r="L73" s="670">
        <f>IF(G73=0,0,SQRT(G73^2+H73^2)*SIN(2*K73*PI()/180+ATAN2(H73,G73))+I73)</f>
        <v>72.298169567389706</v>
      </c>
    </row>
    <row r="74" spans="1:28" s="625" customFormat="1">
      <c r="A74" s="643">
        <v>1</v>
      </c>
      <c r="B74" s="643">
        <f t="shared" si="30"/>
        <v>-10</v>
      </c>
      <c r="C74" s="643">
        <f t="shared" si="31"/>
        <v>-5.7737854116812586E-2</v>
      </c>
      <c r="D74" s="643">
        <f t="shared" si="32"/>
        <v>-3.085057642701133E-2</v>
      </c>
      <c r="E74" s="643">
        <f t="shared" si="33"/>
        <v>44.662050752967318</v>
      </c>
      <c r="F74" s="643">
        <f t="shared" si="34"/>
        <v>30.427239247032681</v>
      </c>
      <c r="G74" s="643">
        <f t="shared" si="35"/>
        <v>-17.564937979804583</v>
      </c>
      <c r="H74" s="643">
        <f t="shared" si="36"/>
        <v>-3.6953693176254623</v>
      </c>
      <c r="I74" s="643">
        <f t="shared" si="37"/>
        <v>54.548710659388568</v>
      </c>
      <c r="J74" s="643">
        <f>SQRT(G74^2+H74^2)+I74</f>
        <v>72.498161921976774</v>
      </c>
      <c r="K74" s="670">
        <f t="shared" ref="K74:K85" si="38">IF(G74=0,0,IF((PI()/2-ATAN2(H74,G74))/2*180/PI()&gt;90,(PI()/2-ATAN2(H74,G74))/2*180/PI()-180,(PI()/2-ATAN2(H74,G74))/2*180/PI()))</f>
        <v>-84.059594778365806</v>
      </c>
      <c r="L74" s="670">
        <f t="shared" ref="L74:L85" si="39">IF(G74=0,0,SQRT(G74^2+H74^2)*SIN(2*K74*PI()/180+ATAN2(H74,G74))+I74)</f>
        <v>72.498161921976774</v>
      </c>
    </row>
    <row r="75" spans="1:28" s="625" customFormat="1">
      <c r="A75" s="643">
        <f>A74+1</f>
        <v>2</v>
      </c>
      <c r="B75" s="643">
        <f t="shared" si="30"/>
        <v>-8</v>
      </c>
      <c r="C75" s="643">
        <f t="shared" si="31"/>
        <v>-5.6626012185824505E-2</v>
      </c>
      <c r="D75" s="643">
        <f t="shared" si="32"/>
        <v>-3.2846805138765853E-2</v>
      </c>
      <c r="E75" s="643">
        <f t="shared" si="33"/>
        <v>44.82541891845058</v>
      </c>
      <c r="F75" s="643">
        <f t="shared" si="34"/>
        <v>30.263871081549429</v>
      </c>
      <c r="G75" s="643">
        <f t="shared" si="35"/>
        <v>-17.656158653192101</v>
      </c>
      <c r="H75" s="643">
        <f t="shared" si="36"/>
        <v>-3.6242086099637207</v>
      </c>
      <c r="I75" s="643">
        <f t="shared" si="37"/>
        <v>54.639931332776086</v>
      </c>
      <c r="J75" s="643">
        <f t="shared" ref="J75:J84" si="40">SQRT(G75^2+H75^2)+I75</f>
        <v>72.664215685704647</v>
      </c>
      <c r="K75" s="670">
        <f t="shared" si="38"/>
        <v>-84.200124964914011</v>
      </c>
      <c r="L75" s="670">
        <f t="shared" si="39"/>
        <v>72.664215685704647</v>
      </c>
    </row>
    <row r="76" spans="1:28" s="625" customFormat="1">
      <c r="A76" s="643">
        <f t="shared" ref="A76:A84" si="41">A75+1</f>
        <v>3</v>
      </c>
      <c r="B76" s="643">
        <f t="shared" si="30"/>
        <v>-6</v>
      </c>
      <c r="C76" s="643">
        <f t="shared" si="31"/>
        <v>-5.5445180181556489E-2</v>
      </c>
      <c r="D76" s="643">
        <f t="shared" si="32"/>
        <v>-3.4803015078121252E-2</v>
      </c>
      <c r="E76" s="643">
        <f t="shared" si="33"/>
        <v>44.953315885263976</v>
      </c>
      <c r="F76" s="643">
        <f t="shared" si="34"/>
        <v>30.135974114736019</v>
      </c>
      <c r="G76" s="643">
        <f t="shared" si="35"/>
        <v>-17.730032430401589</v>
      </c>
      <c r="H76" s="643">
        <f t="shared" si="36"/>
        <v>-3.5486323623772762</v>
      </c>
      <c r="I76" s="643">
        <f t="shared" si="37"/>
        <v>54.713805109985572</v>
      </c>
      <c r="J76" s="643">
        <f t="shared" si="40"/>
        <v>72.795476537881925</v>
      </c>
      <c r="K76" s="670">
        <f t="shared" si="38"/>
        <v>-84.340954218644583</v>
      </c>
      <c r="L76" s="670">
        <f t="shared" si="39"/>
        <v>72.795476537881925</v>
      </c>
    </row>
    <row r="77" spans="1:28" s="625" customFormat="1">
      <c r="A77" s="643">
        <f t="shared" si="41"/>
        <v>4</v>
      </c>
      <c r="B77" s="643">
        <f t="shared" si="30"/>
        <v>-4</v>
      </c>
      <c r="C77" s="643">
        <f t="shared" si="31"/>
        <v>-5.4196796765912533E-2</v>
      </c>
      <c r="D77" s="643">
        <f t="shared" si="32"/>
        <v>-3.6716822904597456E-2</v>
      </c>
      <c r="E77" s="643">
        <f t="shared" si="33"/>
        <v>45.04511855224137</v>
      </c>
      <c r="F77" s="643">
        <f t="shared" si="34"/>
        <v>30.044171447758625</v>
      </c>
      <c r="G77" s="643">
        <f t="shared" si="35"/>
        <v>-17.786199405816262</v>
      </c>
      <c r="H77" s="643">
        <f t="shared" si="36"/>
        <v>-3.4687326528821876</v>
      </c>
      <c r="I77" s="643">
        <f t="shared" si="37"/>
        <v>54.769972085400241</v>
      </c>
      <c r="J77" s="643">
        <f t="shared" si="40"/>
        <v>72.891257788148536</v>
      </c>
      <c r="K77" s="670">
        <f t="shared" si="38"/>
        <v>-84.482237948578074</v>
      </c>
      <c r="L77" s="670">
        <f t="shared" si="39"/>
        <v>72.891257788148536</v>
      </c>
    </row>
    <row r="78" spans="1:28" s="625" customFormat="1">
      <c r="A78" s="643">
        <f t="shared" si="41"/>
        <v>5</v>
      </c>
      <c r="B78" s="643">
        <f t="shared" si="30"/>
        <v>-2</v>
      </c>
      <c r="C78" s="643">
        <f t="shared" si="31"/>
        <v>-5.2882382901785874E-2</v>
      </c>
      <c r="D78" s="643">
        <f t="shared" si="32"/>
        <v>-3.8585896938157414E-2</v>
      </c>
      <c r="E78" s="643">
        <f t="shared" si="33"/>
        <v>45.100379666017211</v>
      </c>
      <c r="F78" s="643">
        <f t="shared" si="34"/>
        <v>29.988910333982794</v>
      </c>
      <c r="G78" s="643">
        <f t="shared" si="35"/>
        <v>-17.82438593957777</v>
      </c>
      <c r="H78" s="643">
        <f t="shared" si="36"/>
        <v>-3.3846068269668663</v>
      </c>
      <c r="I78" s="643">
        <f t="shared" si="37"/>
        <v>54.808158619161752</v>
      </c>
      <c r="J78" s="643">
        <f t="shared" si="40"/>
        <v>72.951044208178956</v>
      </c>
      <c r="K78" s="670">
        <f t="shared" si="38"/>
        <v>-84.624160092718697</v>
      </c>
      <c r="L78" s="670">
        <f t="shared" si="39"/>
        <v>72.951044208178956</v>
      </c>
    </row>
    <row r="79" spans="1:28" s="625" customFormat="1" ht="14.25">
      <c r="A79" s="695">
        <f t="shared" si="41"/>
        <v>6</v>
      </c>
      <c r="B79" s="695">
        <f>INDEX($B46:$B70,MATCH($J$44,$J$46:$J$70,0))</f>
        <v>0</v>
      </c>
      <c r="C79" s="695">
        <f t="shared" si="31"/>
        <v>-5.150354E-2</v>
      </c>
      <c r="D79" s="695">
        <f t="shared" si="32"/>
        <v>-4.040796E-2</v>
      </c>
      <c r="E79" s="695">
        <f t="shared" si="33"/>
        <v>45.118830000000003</v>
      </c>
      <c r="F79" s="695">
        <f t="shared" si="34"/>
        <v>29.970459999999999</v>
      </c>
      <c r="G79" s="695">
        <f t="shared" si="35"/>
        <v>-17.844405990732128</v>
      </c>
      <c r="H79" s="695">
        <f t="shared" si="36"/>
        <v>-3.2963573789915999</v>
      </c>
      <c r="I79" s="695">
        <f t="shared" si="37"/>
        <v>54.828178670316106</v>
      </c>
      <c r="J79" s="695">
        <f t="shared" si="40"/>
        <v>72.97449502190959</v>
      </c>
      <c r="K79" s="670">
        <f t="shared" si="38"/>
        <v>-84.766931945586464</v>
      </c>
      <c r="L79" s="670">
        <f t="shared" si="39"/>
        <v>72.97449502190959</v>
      </c>
    </row>
    <row r="80" spans="1:28" s="625" customFormat="1">
      <c r="A80" s="643">
        <f t="shared" si="41"/>
        <v>7</v>
      </c>
      <c r="B80" s="643">
        <f t="shared" ref="B80:B85" si="42">B79+2</f>
        <v>2</v>
      </c>
      <c r="C80" s="643">
        <f t="shared" si="31"/>
        <v>-5.0061947968236292E-2</v>
      </c>
      <c r="D80" s="643">
        <f t="shared" si="32"/>
        <v>-4.2180792186951664E-2</v>
      </c>
      <c r="E80" s="643">
        <f t="shared" si="33"/>
        <v>45.100379666017211</v>
      </c>
      <c r="F80" s="643">
        <f t="shared" si="34"/>
        <v>29.988910333982794</v>
      </c>
      <c r="G80" s="643">
        <f t="shared" si="35"/>
        <v>-17.846162023602524</v>
      </c>
      <c r="H80" s="643">
        <f t="shared" si="36"/>
        <v>-3.2040918273149619</v>
      </c>
      <c r="I80" s="643">
        <f t="shared" si="37"/>
        <v>54.82993470318651</v>
      </c>
      <c r="J80" s="643">
        <f t="shared" si="40"/>
        <v>72.961446041476535</v>
      </c>
      <c r="K80" s="670">
        <f t="shared" si="38"/>
        <v>-84.910791223227733</v>
      </c>
      <c r="L80" s="670">
        <f t="shared" si="39"/>
        <v>72.961446041476535</v>
      </c>
    </row>
    <row r="81" spans="1:16" s="625" customFormat="1">
      <c r="A81" s="643">
        <f t="shared" si="41"/>
        <v>8</v>
      </c>
      <c r="B81" s="643">
        <f t="shared" si="42"/>
        <v>4</v>
      </c>
      <c r="C81" s="643">
        <f t="shared" si="31"/>
        <v>-4.8559363164325201E-2</v>
      </c>
      <c r="D81" s="643">
        <f t="shared" si="32"/>
        <v>-4.390223357607647E-2</v>
      </c>
      <c r="E81" s="643">
        <f t="shared" si="33"/>
        <v>45.04511855224137</v>
      </c>
      <c r="F81" s="643">
        <f t="shared" si="34"/>
        <v>30.044171447758625</v>
      </c>
      <c r="G81" s="643">
        <f t="shared" si="35"/>
        <v>-17.829645482973319</v>
      </c>
      <c r="H81" s="643">
        <f t="shared" si="36"/>
        <v>-3.1079225832992505</v>
      </c>
      <c r="I81" s="643">
        <f t="shared" si="37"/>
        <v>54.813418162557305</v>
      </c>
      <c r="J81" s="643">
        <f t="shared" si="40"/>
        <v>72.911910940473717</v>
      </c>
      <c r="K81" s="670">
        <f t="shared" si="38"/>
        <v>-85.056001337504981</v>
      </c>
      <c r="L81" s="670">
        <f t="shared" si="39"/>
        <v>72.911910940473717</v>
      </c>
    </row>
    <row r="82" spans="1:16" s="625" customFormat="1">
      <c r="A82" s="643">
        <f t="shared" si="41"/>
        <v>9</v>
      </c>
      <c r="B82" s="643">
        <f t="shared" si="42"/>
        <v>6</v>
      </c>
      <c r="C82" s="643">
        <f t="shared" si="31"/>
        <v>-4.699761625639487E-2</v>
      </c>
      <c r="D82" s="643">
        <f t="shared" si="32"/>
        <v>-4.5570186856209491E-2</v>
      </c>
      <c r="E82" s="643">
        <f t="shared" si="33"/>
        <v>44.953315885263976</v>
      </c>
      <c r="F82" s="643">
        <f t="shared" si="34"/>
        <v>30.135974114736019</v>
      </c>
      <c r="G82" s="643">
        <f t="shared" si="35"/>
        <v>-17.794936835770233</v>
      </c>
      <c r="H82" s="643">
        <f t="shared" si="36"/>
        <v>-3.0079668143545626</v>
      </c>
      <c r="I82" s="643">
        <f t="shared" si="37"/>
        <v>54.778709515354208</v>
      </c>
      <c r="J82" s="643">
        <f t="shared" si="40"/>
        <v>72.826081660497962</v>
      </c>
      <c r="K82" s="670">
        <f t="shared" si="38"/>
        <v>-85.202850848976254</v>
      </c>
      <c r="L82" s="670">
        <f t="shared" si="39"/>
        <v>72.826081660497962</v>
      </c>
    </row>
    <row r="83" spans="1:16" s="625" customFormat="1">
      <c r="A83" s="643">
        <f t="shared" si="41"/>
        <v>10</v>
      </c>
      <c r="B83" s="643">
        <f t="shared" si="42"/>
        <v>8</v>
      </c>
      <c r="C83" s="643">
        <f t="shared" si="31"/>
        <v>-4.5378609992483936E-2</v>
      </c>
      <c r="D83" s="643">
        <f t="shared" si="32"/>
        <v>-4.7182619883207391E-2</v>
      </c>
      <c r="E83" s="643">
        <f t="shared" si="33"/>
        <v>44.82541891845058</v>
      </c>
      <c r="F83" s="643">
        <f t="shared" si="34"/>
        <v>30.263871081549429</v>
      </c>
      <c r="G83" s="643">
        <f t="shared" si="35"/>
        <v>-17.74220517903354</v>
      </c>
      <c r="H83" s="643">
        <f t="shared" si="36"/>
        <v>-2.9043463011883528</v>
      </c>
      <c r="I83" s="643">
        <f t="shared" si="37"/>
        <v>54.725977858617526</v>
      </c>
      <c r="J83" s="643">
        <f t="shared" si="40"/>
        <v>72.704327951219213</v>
      </c>
      <c r="K83" s="670">
        <f t="shared" si="38"/>
        <v>-85.351653064791279</v>
      </c>
      <c r="L83" s="670">
        <f t="shared" si="39"/>
        <v>72.704327951219213</v>
      </c>
    </row>
    <row r="84" spans="1:16" s="625" customFormat="1">
      <c r="A84" s="643">
        <f t="shared" si="41"/>
        <v>11</v>
      </c>
      <c r="B84" s="643">
        <f t="shared" si="42"/>
        <v>10</v>
      </c>
      <c r="C84" s="643">
        <f t="shared" si="31"/>
        <v>-4.3704316882336162E-2</v>
      </c>
      <c r="D84" s="643">
        <f t="shared" si="32"/>
        <v>-4.8737568155803032E-2</v>
      </c>
      <c r="E84" s="643">
        <f t="shared" si="33"/>
        <v>44.662050752967318</v>
      </c>
      <c r="F84" s="643">
        <f t="shared" si="34"/>
        <v>30.427239247032681</v>
      </c>
      <c r="G84" s="643">
        <f t="shared" si="35"/>
        <v>-17.671707416094282</v>
      </c>
      <c r="H84" s="643">
        <f t="shared" si="36"/>
        <v>-2.7971872894343957</v>
      </c>
      <c r="I84" s="643">
        <f t="shared" si="37"/>
        <v>54.655480095678271</v>
      </c>
      <c r="J84" s="643">
        <f t="shared" si="40"/>
        <v>72.547196048381494</v>
      </c>
      <c r="K84" s="670">
        <f t="shared" si="38"/>
        <v>-85.502745744562233</v>
      </c>
      <c r="L84" s="670">
        <f t="shared" si="39"/>
        <v>72.547196048381494</v>
      </c>
    </row>
    <row r="85" spans="1:16" s="625" customFormat="1">
      <c r="A85" s="643">
        <f>A84+1</f>
        <v>12</v>
      </c>
      <c r="B85" s="643">
        <f t="shared" si="42"/>
        <v>12</v>
      </c>
      <c r="C85" s="643">
        <f t="shared" si="31"/>
        <v>-4.1976776794201205E-2</v>
      </c>
      <c r="D85" s="643">
        <f t="shared" si="32"/>
        <v>-5.0233137209047693E-2</v>
      </c>
      <c r="E85" s="643">
        <f t="shared" si="33"/>
        <v>44.464007302094736</v>
      </c>
      <c r="F85" s="643">
        <f t="shared" si="34"/>
        <v>30.625282697905281</v>
      </c>
      <c r="G85" s="643">
        <f t="shared" si="35"/>
        <v>-17.5837870049671</v>
      </c>
      <c r="H85" s="643">
        <f t="shared" si="36"/>
        <v>-2.6866203358419347</v>
      </c>
      <c r="I85" s="643">
        <f t="shared" si="37"/>
        <v>54.567559684551085</v>
      </c>
      <c r="J85" s="643">
        <f>SQRT(G85^2+H85^2)+I85</f>
        <v>72.355406498176649</v>
      </c>
      <c r="K85" s="670">
        <f t="shared" si="38"/>
        <v>-85.656490872930419</v>
      </c>
      <c r="L85" s="670">
        <f t="shared" si="39"/>
        <v>72.355406498176649</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0.28551873349156193</v>
      </c>
      <c r="C89" s="643">
        <f>$E$19*COS(B89*PI()/180)-$E$20*SIN(B89*PI()/180)</f>
        <v>-5.1301538706306264E-2</v>
      </c>
      <c r="D89" s="643">
        <f>$E$19*SIN(B89*PI()/180)+$E$20*COS(B89*PI()/180)</f>
        <v>-4.0664111821833271E-2</v>
      </c>
      <c r="E89" s="643">
        <f>$E$22*COS(B89*PI()/180)^2+$E$23*SIN(B89*PI()/180)^2</f>
        <v>45.118453828177223</v>
      </c>
      <c r="F89" s="670">
        <f>$E$22*SIN(B89*PI()/180)^2+$E$23*COS(B89*PI()/180)^2</f>
        <v>29.970836171822789</v>
      </c>
      <c r="G89" s="643">
        <f>($E$18*(C89+$E$28)^2-$E$18*($E$21+$E$26)^2+$E$24-E89)/2</f>
        <v>-17.845775411738011</v>
      </c>
      <c r="H89" s="643">
        <f>$E$18*(C89+$E$28)*($E$21+$E$26)</f>
        <v>-3.2834287831119151</v>
      </c>
      <c r="I89" s="643">
        <f>$E$18*((C89+$E$28)^2+($E$21+$E$26)^2)/2+$E$18*(D89+$E$27)^2+($E$24+E89)/2</f>
        <v>54.829548091321989</v>
      </c>
      <c r="J89" s="702">
        <f>SQRT(G89^2+H89^2)+I89</f>
        <v>72.974867174213884</v>
      </c>
      <c r="K89" s="659">
        <f>$E$18*((C89+$E$28)^2+($E$21+$E$26)^2)+F89</f>
        <v>57.674447529211982</v>
      </c>
      <c r="L89" s="659">
        <f>$E$18*(D89^2+($E$21+$E$26)^2)+E89</f>
        <v>72.675323503060014</v>
      </c>
      <c r="N89" s="643">
        <f>IF(G89=0,0,IF((PI()/2-ATAN2(H89,G89))/2*180/PI()&gt;90,(PI()/2-ATAN2(H89,G89))/2*180/PI()-180,(PI()/2-ATAN2(H89,G89))/2*180/PI()))</f>
        <v>-84.787396801414616</v>
      </c>
      <c r="O89" s="643">
        <f>IF(G89=0,0,SQRT(G89^2+H89^2)*SIN(2*N89*PI()/180+ATAN2(H89,G89))+I89)</f>
        <v>72.974867174213884</v>
      </c>
      <c r="P89" s="703"/>
    </row>
    <row r="90" spans="1:16" s="625" customFormat="1" ht="14.25">
      <c r="A90" s="664" t="s">
        <v>1584</v>
      </c>
      <c r="B90" s="701">
        <f>N46</f>
        <v>91.192090218387634</v>
      </c>
      <c r="C90" s="643">
        <f>$E$19*COS(B90*PI()/180)-$E$20*SIN(B90*PI()/180)</f>
        <v>4.1470714462980937E-2</v>
      </c>
      <c r="D90" s="670">
        <f>$E$19*SIN(B90*PI()/180)+$E$20*COS(B90*PI()/180)</f>
        <v>-5.065172954424265E-2</v>
      </c>
      <c r="E90" s="670">
        <f>$E$22*COS(B90*PI()/180)^2+$E$23*SIN(B90*PI()/180)^2</f>
        <v>29.97701656273145</v>
      </c>
      <c r="F90" s="643">
        <f>$E$22*SIN(B90*PI()/180)^2+$E$23*COS(B90*PI()/180)^2</f>
        <v>45.112273437268549</v>
      </c>
      <c r="G90" s="670">
        <f>($E$18*(C90+$E$28)^2-$E$18*($E$21+$E$26)^2+$E$24-E90)/2</f>
        <v>-10.343458857682464</v>
      </c>
      <c r="H90" s="670">
        <f>$E$18*(C90+$E$28)*($E$21+$E$26)</f>
        <v>2.654231061245516</v>
      </c>
      <c r="I90" s="670">
        <f>$E$18*((C90+$E$28)^2+($E$21+$E$26)^2)/2+$E$18*(D90+$E$27)^2+($E$24+E90)/2</f>
        <v>47.327231537266442</v>
      </c>
      <c r="J90" s="670">
        <f>SQRT(G90^2+H90^2)+I90</f>
        <v>58.005812138968636</v>
      </c>
      <c r="K90" s="702">
        <f>$E$18*((C90+$E$28)^2+($E$21+$E$26)^2)+F90</f>
        <v>72.679080637323068</v>
      </c>
      <c r="L90" s="659">
        <f>$E$18*(D90^2+($E$21+$E$26)^2)+E90</f>
        <v>57.670690394948913</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6.5463103072595022E-2</v>
      </c>
      <c r="P5" s="10"/>
      <c r="Q5" s="4" t="s">
        <v>91</v>
      </c>
      <c r="R5" s="10"/>
    </row>
    <row r="6" spans="1:18" ht="14.1" customHeight="1">
      <c r="B6" s="14" t="s">
        <v>427</v>
      </c>
      <c r="C6" s="72">
        <f>VLOOKUP($C$3,Table1,12)</f>
        <v>210</v>
      </c>
      <c r="D6" s="68">
        <f>HLOOKUP($C$4,$E$4:$H$12,3)</f>
        <v>150</v>
      </c>
      <c r="E6" s="68">
        <f>'Payload Input'!$E$18</f>
        <v>150</v>
      </c>
      <c r="F6" s="68">
        <f>'Payload Input'!$E$18</f>
        <v>150</v>
      </c>
      <c r="G6" s="147">
        <f>IF(('Misc Data'!$B$11=3),Anal_Input_1, 0)</f>
        <v>0</v>
      </c>
      <c r="H6" s="155">
        <f>I6</f>
        <v>0</v>
      </c>
      <c r="I6" s="156">
        <f>IF(('Misc Data'!$B$11=4),Anal_Input_1, 0)</f>
        <v>0</v>
      </c>
      <c r="J6" s="39"/>
      <c r="K6" s="51"/>
      <c r="L6" s="52"/>
      <c r="M6" s="400"/>
      <c r="N6" s="391" t="s">
        <v>840</v>
      </c>
      <c r="O6" s="52">
        <f>'Payload Input'!$E$21+'Payload Input'!$E$26</f>
        <v>0.4266836</v>
      </c>
      <c r="Q6" s="31" t="s">
        <v>427</v>
      </c>
      <c r="R6" s="450">
        <f>D6</f>
        <v>150</v>
      </c>
    </row>
    <row r="7" spans="1:18" ht="14.1" customHeight="1">
      <c r="B7" s="14" t="s">
        <v>364</v>
      </c>
      <c r="C7" s="72">
        <f>VLOOKUP($C$3,Table1,6)</f>
        <v>1333</v>
      </c>
      <c r="D7" s="68">
        <f>IF(OR(Anal_Robot_Code=10111,Anal_Robot_Code=10214,Anal_Robot_Code=10215),"-",HLOOKUP($C$4,$E$4:$H$12,4))</f>
        <v>634.56396415688346</v>
      </c>
      <c r="E7" s="68">
        <f>'Payload Input'!$E$31</f>
        <v>634.56396415688346</v>
      </c>
      <c r="F7" s="68">
        <f>'Payload Input'!$E$31</f>
        <v>634.56396415688346</v>
      </c>
      <c r="G7" s="147">
        <f>IF(('Misc Data'!$B$11=3),Anal_Input_2, 0)</f>
        <v>0</v>
      </c>
      <c r="H7" s="155">
        <f>I7</f>
        <v>0</v>
      </c>
      <c r="I7" s="156">
        <f>IF(('Misc Data'!$B$11=4),Anal_Input_2, 0)</f>
        <v>0</v>
      </c>
      <c r="J7" s="39"/>
      <c r="K7" s="51" t="s">
        <v>1564</v>
      </c>
      <c r="L7" s="52">
        <f>D8*SIN(RADIANS(O10))</f>
        <v>96.230761516714679</v>
      </c>
      <c r="M7" s="39"/>
      <c r="N7" s="391" t="s">
        <v>3494</v>
      </c>
      <c r="O7" s="52">
        <f>DEGREES(IF(O6=0,0,ATAN2(O6,O5)))</f>
        <v>8.7224796987707851</v>
      </c>
      <c r="Q7" s="31" t="s">
        <v>364</v>
      </c>
      <c r="R7" s="31">
        <f>IF(Axis_Type&lt;&gt;2,D7,IF(Wrist_Down_Fix=1,L7,D8))</f>
        <v>634.56396415688346</v>
      </c>
    </row>
    <row r="8" spans="1:18" ht="14.1" customHeight="1">
      <c r="A8" s="4"/>
      <c r="B8" s="14" t="s">
        <v>365</v>
      </c>
      <c r="C8" s="72">
        <f>VLOOKUP($C$3,Table1,7)</f>
        <v>1333</v>
      </c>
      <c r="D8" s="68">
        <f>HLOOKUP($C$4,$E$4:$H$12,5)</f>
        <v>634.56396415688346</v>
      </c>
      <c r="E8" s="68">
        <f>'Payload Input'!$E$32</f>
        <v>634.56396415688346</v>
      </c>
      <c r="F8" s="68">
        <f>'Payload Input'!$E$32</f>
        <v>634.56396415688346</v>
      </c>
      <c r="G8" s="147">
        <f>IF(('Misc Data'!$B$11=3),Anal_Input_3, 0)</f>
        <v>0</v>
      </c>
      <c r="H8" s="155">
        <f>I8</f>
        <v>0</v>
      </c>
      <c r="I8" s="156">
        <f>IF(('Misc Data'!$B$11=4),Anal_Input_3, 0)</f>
        <v>0</v>
      </c>
      <c r="J8" s="39"/>
      <c r="K8" s="51" t="s">
        <v>3182</v>
      </c>
      <c r="L8" s="52">
        <f>D9*SIN(RADIANS(L5))</f>
        <v>0</v>
      </c>
      <c r="M8" s="39"/>
      <c r="N8" s="391" t="s">
        <v>1493</v>
      </c>
      <c r="O8" s="52">
        <f>O7+L5</f>
        <v>8.7224796987707851</v>
      </c>
      <c r="Q8" s="31" t="s">
        <v>365</v>
      </c>
      <c r="R8" s="31">
        <f>IF(Axis_Type&lt;&gt;2,D8,IF(Wrist_Down_Fix=1,L8,D9))</f>
        <v>634.56396415688346</v>
      </c>
    </row>
    <row r="9" spans="1:18" ht="14.1" customHeight="1">
      <c r="B9" s="14" t="s">
        <v>366</v>
      </c>
      <c r="C9" s="72">
        <f>VLOOKUP($C$3,Table1,8)</f>
        <v>706</v>
      </c>
      <c r="D9" s="68">
        <f>HLOOKUP($C$4,$E$4:$H$12,6)</f>
        <v>96.230761516714679</v>
      </c>
      <c r="E9" s="68">
        <f>'Payload Input'!$E$33</f>
        <v>96.230761516714679</v>
      </c>
      <c r="F9" s="68">
        <f>'Payload Input'!$E$33</f>
        <v>96.230761516714679</v>
      </c>
      <c r="G9" s="147">
        <f>IF(('Misc Data'!$B$11=3),Anal_Input_4, 0)</f>
        <v>0</v>
      </c>
      <c r="H9" s="155">
        <f>I9</f>
        <v>0</v>
      </c>
      <c r="I9" s="156">
        <f>IF(('Misc Data'!$B$11=4),Anal_Input_4, 0)</f>
        <v>0</v>
      </c>
      <c r="J9" s="39"/>
      <c r="K9" s="51"/>
      <c r="L9" s="52"/>
      <c r="M9" s="39"/>
      <c r="N9" s="391" t="s">
        <v>2815</v>
      </c>
      <c r="O9" s="52">
        <f>O7-L5</f>
        <v>8.7224796987707851</v>
      </c>
      <c r="Q9" s="31" t="s">
        <v>366</v>
      </c>
      <c r="R9" s="31">
        <f>IF(Axis_Count=1,0,D9)</f>
        <v>96.230761516714679</v>
      </c>
    </row>
    <row r="10" spans="1:18" ht="14.1" customHeight="1" thickBot="1">
      <c r="B10" s="14" t="s">
        <v>1914</v>
      </c>
      <c r="C10" s="72">
        <f>VLOOKUP($C$3,Table1,9)</f>
        <v>141.1</v>
      </c>
      <c r="D10" s="68">
        <f>HLOOKUP($C$4,$E$4:$H$12,7)</f>
        <v>72.974867174213884</v>
      </c>
      <c r="E10" s="68">
        <f>'Payload Input'!$E$36</f>
        <v>72.974867174213884</v>
      </c>
      <c r="F10" s="68">
        <f>'Payload Input'!$E$36</f>
        <v>72.974867174213884</v>
      </c>
      <c r="G10" s="147">
        <f>IF(('Misc Data'!$B$11=3),Anal_Input_5, 0)</f>
        <v>0</v>
      </c>
      <c r="H10" s="155">
        <f>I10/H13</f>
        <v>0</v>
      </c>
      <c r="I10" s="156">
        <f>IF(('Misc Data'!$B$11=4),Anal_Input_5, 0)</f>
        <v>0</v>
      </c>
      <c r="J10" s="39"/>
      <c r="K10" s="51" t="s">
        <v>1599</v>
      </c>
      <c r="L10" s="392">
        <f>D11</f>
        <v>72.679080637323068</v>
      </c>
      <c r="M10" s="39"/>
      <c r="N10" s="453" t="s">
        <v>882</v>
      </c>
      <c r="O10" s="54">
        <f>IF(O9&lt;=90,IF(90&lt;=O8,90,O8),O9)</f>
        <v>8.7224796987707851</v>
      </c>
      <c r="Q10" s="31" t="s">
        <v>1914</v>
      </c>
      <c r="R10" s="31">
        <f>IF(Axis_Type&lt;&gt;2,D10,IF(Wrist_Down_Fix=1,L10,D11))</f>
        <v>72.974867174213884</v>
      </c>
    </row>
    <row r="11" spans="1:18" ht="14.1" customHeight="1">
      <c r="B11" s="14" t="s">
        <v>1915</v>
      </c>
      <c r="C11" s="72">
        <f>VLOOKUP($C$3,Table1,10)</f>
        <v>141.1</v>
      </c>
      <c r="D11" s="68">
        <f>HLOOKUP($C$4,$E$4:$H$12,8)</f>
        <v>72.679080637323068</v>
      </c>
      <c r="E11" s="68">
        <f>'Payload Input'!$E$37</f>
        <v>72.679080637323068</v>
      </c>
      <c r="F11" s="68">
        <f>'Payload Input'!$E$37</f>
        <v>72.679080637323068</v>
      </c>
      <c r="G11" s="147">
        <f>IF(('Misc Data'!$B$11=3),Anal_Input_6, 0)</f>
        <v>0</v>
      </c>
      <c r="H11" s="155">
        <f>I11/H13</f>
        <v>0</v>
      </c>
      <c r="I11" s="156">
        <f>IF(('Misc Data'!$B$11=4),Anal_Input_6, 0)</f>
        <v>0</v>
      </c>
      <c r="J11" s="39"/>
      <c r="K11" s="51" t="s">
        <v>1060</v>
      </c>
      <c r="L11" s="392">
        <f>D12</f>
        <v>36.983772679583986</v>
      </c>
      <c r="M11" s="39"/>
      <c r="N11" s="151"/>
      <c r="Q11" s="31" t="s">
        <v>1915</v>
      </c>
      <c r="R11" s="31">
        <f>IF(Axis_Type&lt;&gt;2,D11,IF(Wrist_Down_Fix=1,L11,D12))</f>
        <v>72.679080637323068</v>
      </c>
    </row>
    <row r="12" spans="1:18" s="19" customFormat="1" ht="14.1" customHeight="1" thickBot="1">
      <c r="A12" s="5"/>
      <c r="B12" s="16" t="s">
        <v>554</v>
      </c>
      <c r="C12" s="73">
        <f>VLOOKUP($C$3,Table1,11)</f>
        <v>78.400000000000006</v>
      </c>
      <c r="D12" s="88">
        <f>HLOOKUP($C$4,$E$4:$H$12,9)</f>
        <v>36.983772679583986</v>
      </c>
      <c r="E12" s="69">
        <f>'Payload Input'!$E$38</f>
        <v>36.983772679583986</v>
      </c>
      <c r="F12" s="69">
        <f>'Payload Input'!$E$38</f>
        <v>36.983772679583986</v>
      </c>
      <c r="G12" s="148">
        <f>IF(('Misc Data'!$B$11=3),Anal_Input_7, 0)</f>
        <v>0</v>
      </c>
      <c r="H12" s="157">
        <f>I12/H13</f>
        <v>0</v>
      </c>
      <c r="I12" s="158">
        <f>IF(('Misc Data'!$B$11=4),Anal_Input_7, 0)</f>
        <v>0</v>
      </c>
      <c r="J12" s="32"/>
      <c r="K12" s="53"/>
      <c r="L12" s="393"/>
      <c r="M12" s="5"/>
      <c r="N12" s="151"/>
      <c r="O12" s="5"/>
      <c r="P12" s="5"/>
      <c r="Q12" s="31" t="s">
        <v>554</v>
      </c>
      <c r="R12" s="31">
        <f>IF(Axis_Count=1,0,D12)</f>
        <v>36.983772679583986</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69.399999999999991</v>
      </c>
      <c r="F20" s="39"/>
      <c r="I20" s="151"/>
      <c r="J20" s="39"/>
      <c r="K20" s="35"/>
      <c r="L20" s="400"/>
      <c r="M20" s="39"/>
      <c r="O20" s="400"/>
      <c r="Q20" s="31" t="s">
        <v>310</v>
      </c>
      <c r="R20" s="387">
        <f>D20</f>
        <v>69.399999999999991</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47</v>
      </c>
      <c r="E22" s="341">
        <f>TRUNC(D8/$C$7*100,0)</f>
        <v>47</v>
      </c>
      <c r="F22" s="341">
        <f>TRUNC(L7/$C$7*100,0)</f>
        <v>7</v>
      </c>
      <c r="G22" s="39"/>
      <c r="H22" s="39"/>
      <c r="I22" s="458" t="s">
        <v>493</v>
      </c>
      <c r="J22" s="39"/>
      <c r="K22" s="39"/>
      <c r="L22" s="455"/>
      <c r="M22" s="39"/>
      <c r="N22" s="337"/>
      <c r="O22" s="400"/>
      <c r="P22" s="39"/>
      <c r="Q22" s="55" t="s">
        <v>490</v>
      </c>
      <c r="R22" s="397">
        <f>IF(OR(Anal_Robot_Code=10111,Anal_Robot_Code=10214,Anal_Robot_Code=10215),I22,IF(Axis_Type&lt;&gt;2,D22,IF(Wrist_Down_Fix=1,F22,E22)))</f>
        <v>47</v>
      </c>
    </row>
    <row r="23" spans="1:18" s="4" customFormat="1" ht="14.1" customHeight="1">
      <c r="A23" s="5"/>
      <c r="B23" s="14" t="s">
        <v>491</v>
      </c>
      <c r="C23" s="65"/>
      <c r="D23" s="340">
        <f>IF(Wrist_Down_Fix=1,IF(C8&lt;D8,101,0),TRUNC(D8/$C$8*100,0))</f>
        <v>47</v>
      </c>
      <c r="E23" s="341">
        <f>TRUNC(D9/$C$8*100,0)</f>
        <v>7</v>
      </c>
      <c r="F23" s="341">
        <v>0</v>
      </c>
      <c r="G23" s="458" t="str">
        <f>IF(D23=0,"-","∞")</f>
        <v>∞</v>
      </c>
      <c r="H23" s="39"/>
      <c r="I23" s="39"/>
      <c r="J23" s="39"/>
      <c r="K23" s="39"/>
      <c r="L23" s="455"/>
      <c r="M23" s="39"/>
      <c r="N23" s="39"/>
      <c r="O23" s="400"/>
      <c r="P23" s="39"/>
      <c r="Q23" s="56" t="s">
        <v>491</v>
      </c>
      <c r="R23" s="459">
        <f>IF(Axis_Type&lt;&gt;2,IF(Wrist_Down_Fix=1,G23,D23),IF(Wrist_Down_Fix=1,F23,E23))</f>
        <v>47</v>
      </c>
    </row>
    <row r="24" spans="1:18" ht="14.1" customHeight="1" thickBot="1">
      <c r="B24" s="16" t="s">
        <v>492</v>
      </c>
      <c r="C24" s="66"/>
      <c r="D24" s="323">
        <f>TRUNC(D9/$C$9*100,0)</f>
        <v>13</v>
      </c>
      <c r="F24" s="39"/>
      <c r="G24" s="39"/>
      <c r="H24" s="39"/>
      <c r="I24" s="39"/>
      <c r="J24" s="39"/>
      <c r="K24" s="39"/>
      <c r="L24" s="455"/>
      <c r="M24" s="39"/>
      <c r="N24" s="414"/>
      <c r="O24" s="400"/>
      <c r="P24" s="39"/>
      <c r="Q24" s="48" t="s">
        <v>492</v>
      </c>
      <c r="R24" s="397">
        <f>IF(Axis_Count=1,0,D24)</f>
        <v>13</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51.800000000000004</v>
      </c>
      <c r="E26" s="341">
        <f>ROUNDUP(D11/$C10*100,1)</f>
        <v>51.6</v>
      </c>
      <c r="F26" s="341">
        <f>ROUNDUP(L10/$C$10*100,1)</f>
        <v>51.6</v>
      </c>
      <c r="G26" s="39"/>
      <c r="H26" s="39"/>
      <c r="I26" s="39"/>
      <c r="J26" s="39"/>
      <c r="K26" s="39"/>
      <c r="L26" s="455"/>
      <c r="M26" s="39"/>
      <c r="N26" s="39"/>
      <c r="O26" s="400"/>
      <c r="P26" s="39"/>
      <c r="Q26" s="55" t="s">
        <v>490</v>
      </c>
      <c r="R26" s="397">
        <f>IF(Axis_Type&lt;&gt;2,D26,IF(Wrist_Down_Fix=1,F26,E26))</f>
        <v>51.800000000000004</v>
      </c>
    </row>
    <row r="27" spans="1:18" ht="14.1" customHeight="1">
      <c r="B27" s="14" t="s">
        <v>491</v>
      </c>
      <c r="C27" s="65">
        <f>ROUND(C11/$G74*100,)</f>
        <v>66</v>
      </c>
      <c r="D27" s="340">
        <f>ROUNDUP(D11/$C11*100,1)</f>
        <v>51.6</v>
      </c>
      <c r="E27" s="341">
        <f>ROUNDUP(D12/$C11*100,1)</f>
        <v>26.3</v>
      </c>
      <c r="F27" s="341">
        <f>ROUNDUP(L11/$C11*100,1)</f>
        <v>26.3</v>
      </c>
      <c r="G27" s="39"/>
      <c r="H27" s="39"/>
      <c r="I27" s="39"/>
      <c r="J27" s="39"/>
      <c r="K27" s="39"/>
      <c r="L27" s="455"/>
      <c r="M27" s="39"/>
      <c r="N27" s="39"/>
      <c r="O27" s="400"/>
      <c r="P27" s="39"/>
      <c r="Q27" s="56" t="s">
        <v>491</v>
      </c>
      <c r="R27" s="397">
        <f>IF(Axis_Type&lt;&gt;2,D27,IF(Wrist_Down_Fix=1,F27,E27))</f>
        <v>51.6</v>
      </c>
    </row>
    <row r="28" spans="1:18" s="19" customFormat="1" ht="14.1" customHeight="1" thickBot="1">
      <c r="A28" s="5"/>
      <c r="B28" s="16" t="s">
        <v>492</v>
      </c>
      <c r="C28" s="66">
        <f>ROUND(C12/$G75*100,)</f>
        <v>76</v>
      </c>
      <c r="D28" s="323">
        <f>ROUNDUP(D12/$C12*100,1)</f>
        <v>47.2</v>
      </c>
      <c r="E28" s="5"/>
      <c r="F28" s="39"/>
      <c r="G28" s="5"/>
      <c r="H28" s="5"/>
      <c r="I28" s="5"/>
      <c r="J28" s="39"/>
      <c r="K28" s="39"/>
      <c r="L28" s="455"/>
      <c r="M28" s="39"/>
      <c r="N28" s="5"/>
      <c r="O28" s="5"/>
      <c r="P28" s="5"/>
      <c r="Q28" s="48" t="s">
        <v>492</v>
      </c>
      <c r="R28" s="398">
        <f>IF(Axis_Count=1,0,D28)</f>
        <v>47.2</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933.76091957116034</v>
      </c>
      <c r="E65" s="362">
        <f>D8+(D11*$D$73)</f>
        <v>932.54819476990804</v>
      </c>
      <c r="F65" s="135"/>
      <c r="G65" s="135"/>
      <c r="J65" s="39"/>
      <c r="K65" s="400"/>
      <c r="L65" s="135"/>
      <c r="M65" s="135"/>
      <c r="N65" s="39"/>
    </row>
    <row r="66" spans="1:18" s="4" customFormat="1" ht="14.1" customHeight="1">
      <c r="A66" s="5"/>
      <c r="B66" s="37" t="s">
        <v>491</v>
      </c>
      <c r="C66" s="38">
        <f xml:space="preserve"> C8+(C11*$D$74)</f>
        <v>1726.6689999999999</v>
      </c>
      <c r="D66" s="38">
        <f xml:space="preserve"> D8+(D11*$D$74)</f>
        <v>837.33859913501487</v>
      </c>
      <c r="E66" s="362">
        <f xml:space="preserve"> D9+(D12*$D$74)</f>
        <v>199.41548729275399</v>
      </c>
      <c r="F66" s="135"/>
      <c r="G66" s="135"/>
      <c r="H66" s="5"/>
      <c r="I66" s="5"/>
      <c r="J66" s="39"/>
      <c r="K66" s="400"/>
      <c r="L66" s="135"/>
      <c r="M66" s="135"/>
      <c r="N66" s="39"/>
      <c r="O66" s="5"/>
      <c r="P66" s="5"/>
      <c r="Q66" s="5"/>
      <c r="R66" s="5"/>
    </row>
    <row r="67" spans="1:18" ht="14.1" customHeight="1">
      <c r="B67" s="37" t="s">
        <v>492</v>
      </c>
      <c r="C67" s="38">
        <f>C9+(C12*$D$75)</f>
        <v>935.71199999999999</v>
      </c>
      <c r="D67" s="38">
        <f>D9+(D12*$D$75)</f>
        <v>204.59321546789576</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150</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-5.15</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-4.0410000000000004</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19.167999999999999</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460.39600000000002</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305.82100000000003</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370.82600000000002</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69.399999999999991</v>
      </c>
      <c r="D9" s="3">
        <v>0</v>
      </c>
      <c r="E9" s="3">
        <f>IF(H9&gt;$F$8, $F$8-$E$8, IF(H9&gt;$E$8, H9-$E$8, 0))</f>
        <v>0</v>
      </c>
      <c r="F9" s="3">
        <f>IF(H9&gt;$F$8, H9-$F$8, 0)</f>
        <v>0</v>
      </c>
      <c r="H9" s="3">
        <f>'Wrist Load Analysis'!R20</f>
        <v>69.399999999999991</v>
      </c>
    </row>
    <row r="11" spans="1:8">
      <c r="A11" s="3" t="s">
        <v>348</v>
      </c>
      <c r="B11" s="3" t="s">
        <v>2344</v>
      </c>
      <c r="C11" s="3">
        <f>IF(H11&gt;$E$8, $E$8, H11)</f>
        <v>47</v>
      </c>
      <c r="D11" s="3">
        <v>0</v>
      </c>
      <c r="E11" s="3">
        <f>IF(H11&gt;$F$8, $F$8-$E$8, IF(H11&gt;$E$8, H11-$E$8, 0))</f>
        <v>0</v>
      </c>
      <c r="F11" s="3">
        <f>IF(H11&gt;$F$8, H11-$F$8, 0)</f>
        <v>0</v>
      </c>
      <c r="H11" s="3">
        <f>IF(Anal_Robot_Code=10111,0,'Wrist Load Analysis'!R22)</f>
        <v>47</v>
      </c>
    </row>
    <row r="12" spans="1:8">
      <c r="B12" s="3" t="s">
        <v>1618</v>
      </c>
      <c r="C12" s="3">
        <f>IF(H12&gt;$E$8, $E$8, H12)</f>
        <v>47</v>
      </c>
      <c r="D12" s="3">
        <v>0</v>
      </c>
      <c r="E12" s="3">
        <f>IF(H12&gt;$F$8, $F$8-$E$8, IF(H12&gt;$E$8, H12-$E$8, 0))</f>
        <v>0</v>
      </c>
      <c r="F12" s="3">
        <f>IF(H12&gt;$F$8, H12-$F$8, 0)</f>
        <v>0</v>
      </c>
      <c r="H12" s="3">
        <f>'Wrist Load Analysis'!R23</f>
        <v>47</v>
      </c>
    </row>
    <row r="13" spans="1:8">
      <c r="B13" s="3" t="str">
        <f>IF(Axis_Count=1,"","J6")</f>
        <v>J6</v>
      </c>
      <c r="C13" s="3">
        <f>IF(H13&gt;$E$8, $E$8, H13)</f>
        <v>13</v>
      </c>
      <c r="D13" s="3">
        <v>0</v>
      </c>
      <c r="E13" s="3">
        <f>IF(H13&gt;$F$8, $F$8-$E$8, IF(H13&gt;$E$8, H13-$E$8, 0))</f>
        <v>0</v>
      </c>
      <c r="F13" s="3">
        <f>IF(H13&gt;$F$8, H13-$F$8, 0)</f>
        <v>0</v>
      </c>
      <c r="H13" s="3">
        <f>'Wrist Load Analysis'!R24</f>
        <v>13</v>
      </c>
    </row>
    <row r="15" spans="1:8">
      <c r="A15" s="3" t="s">
        <v>488</v>
      </c>
      <c r="B15" s="3" t="s">
        <v>2344</v>
      </c>
      <c r="C15" s="3">
        <f>IF(H15&gt;E8, E8, H15)</f>
        <v>51.800000000000004</v>
      </c>
      <c r="D15" s="3">
        <v>0</v>
      </c>
      <c r="E15" s="3">
        <f>IF(H15&gt;$F$8, $F$8-$E$8, IF(H15&gt;$E$8, H15-$E$8, 0))</f>
        <v>0</v>
      </c>
      <c r="F15" s="3">
        <f>IF(H15&gt;$F$8, H15-$F$8, 0)</f>
        <v>0</v>
      </c>
      <c r="H15" s="3">
        <f>'Wrist Load Analysis'!R26</f>
        <v>51.800000000000004</v>
      </c>
    </row>
    <row r="16" spans="1:8">
      <c r="B16" s="3" t="s">
        <v>1618</v>
      </c>
      <c r="C16" s="3">
        <f>IF(H16&gt;E8, E8, H16)</f>
        <v>51.6</v>
      </c>
      <c r="D16" s="3">
        <v>0</v>
      </c>
      <c r="E16" s="3">
        <f>IF(H16&gt;$F$8, $F$8-$E$8, IF(H16&gt;$E$8, H16-$E$8, 0))</f>
        <v>0</v>
      </c>
      <c r="F16" s="3">
        <f>IF(H16&gt;$F$8, H16-$F$8, 0)</f>
        <v>0</v>
      </c>
      <c r="H16" s="3">
        <f>'Wrist Load Analysis'!R27</f>
        <v>51.6</v>
      </c>
    </row>
    <row r="17" spans="1:16">
      <c r="B17" s="3" t="str">
        <f>IF(Axis_Count=1,"","J6")</f>
        <v>J6</v>
      </c>
      <c r="C17" s="3">
        <f>IF(H17&gt;E8, E8, H17)</f>
        <v>47.2</v>
      </c>
      <c r="D17" s="3">
        <v>0</v>
      </c>
      <c r="E17" s="3">
        <f>IF(H17&gt;$F$8, $F$8-$E$8, IF(H17&gt;$E$8, H17-$E$8, 0))</f>
        <v>0</v>
      </c>
      <c r="F17" s="3">
        <f>IF(H17&gt;$F$8, H17-$F$8, 0)</f>
        <v>0</v>
      </c>
      <c r="H17" s="3">
        <f>'Wrist Load Analysis'!R28</f>
        <v>47.2</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634.56396415688346</v>
      </c>
      <c r="G25" s="209">
        <f>'Wrist Load Analysis'!R10</f>
        <v>72.974867174213884</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634.56396415688346</v>
      </c>
      <c r="G29" s="209">
        <f>'Wrist Load Analysis'!R11</f>
        <v>72.679080637323068</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96.230761516714679</v>
      </c>
      <c r="G33" s="209">
        <f>'Wrist Load Analysis'!R12</f>
        <v>36.983772679583986</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2016-12-07T00:03:16Z</cp:lastPrinted>
  <dcterms:created xsi:type="dcterms:W3CDTF">1999-12-01T08:04:04Z</dcterms:created>
  <dcterms:modified xsi:type="dcterms:W3CDTF">2017-01-18T23:19:01Z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